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YfCrAoDbf5yk0YNdwvO8PQFM6TwZOjeMEtWC0qGtRTtkr++cuFkhHnQf/y6XtIkFXdPJauGrsd7almiNyFqknw==" workbookSaltValue="+t/h7KQrQcc4WrvjcC23o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G18" i="12"/>
  <c r="W19" i="13"/>
  <c r="AL13" i="16"/>
  <c r="S13" i="16"/>
  <c r="P13" i="16"/>
  <c r="AN13" i="20"/>
  <c r="Z13" i="17"/>
  <c r="AN17" i="11"/>
  <c r="D17" i="6"/>
  <c r="T13" i="12"/>
  <c r="BD9" i="8"/>
  <c r="BF9" i="8"/>
  <c r="BA13" i="8"/>
  <c r="I19" i="8"/>
  <c r="E13" i="17"/>
  <c r="T13" i="20"/>
  <c r="T13" i="16"/>
  <c r="AP13" i="16"/>
  <c r="T18" i="17"/>
  <c r="J20" i="20"/>
  <c r="AG20" i="20"/>
  <c r="K20" i="20"/>
  <c r="Z20" i="20"/>
  <c r="AM20" i="20"/>
  <c r="AK20" i="20"/>
  <c r="W20" i="21"/>
  <c r="F20" i="20"/>
  <c r="AF20" i="20"/>
  <c r="M20" i="20"/>
  <c r="S20" i="20"/>
  <c r="AJ19" i="8" l="1"/>
  <c r="AR18" i="11"/>
  <c r="E18" i="12"/>
  <c r="T19" i="8"/>
  <c r="AH13" i="16"/>
  <c r="AC12" i="11"/>
  <c r="BF12" i="8"/>
  <c r="BG12" i="8"/>
  <c r="B13" i="7"/>
  <c r="AY13" i="8"/>
  <c r="I12" i="3"/>
  <c r="E12" i="3"/>
  <c r="AA19" i="8"/>
  <c r="H13" i="12"/>
  <c r="I10" i="3"/>
  <c r="C19" i="3"/>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R20" i="20"/>
  <c r="L20" i="20"/>
  <c r="W20" i="20"/>
  <c r="T20" i="21"/>
  <c r="AJ20" i="20"/>
  <c r="Q20" i="20"/>
  <c r="AQ20" i="21"/>
  <c r="AU20" i="20"/>
  <c r="AD20" i="20"/>
  <c r="G18" i="14"/>
  <c r="AL20" i="20"/>
  <c r="AI20" i="20"/>
  <c r="U16" i="11"/>
  <c r="AV20" i="20"/>
  <c r="Y20" i="20"/>
  <c r="O10" i="11"/>
  <c r="U12" i="11"/>
  <c r="U10" i="11"/>
  <c r="AA20" i="20"/>
  <c r="E20" i="20"/>
  <c r="P20" i="20"/>
  <c r="I20" i="20"/>
  <c r="AO20" i="20"/>
  <c r="T20" i="20"/>
  <c r="AQ20" i="20"/>
  <c r="AZ20" i="20"/>
  <c r="L11" i="2" l="1"/>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AW20" i="11"/>
  <c r="AB20" i="20"/>
  <c r="O20" i="20"/>
  <c r="H20" i="20"/>
  <c r="O16" i="11"/>
  <c r="H20" i="17"/>
  <c r="U17" i="11"/>
  <c r="N20" i="20"/>
  <c r="X20" i="20"/>
  <c r="AV20" i="21"/>
  <c r="G21" i="21" l="1"/>
  <c r="V13" i="21"/>
  <c r="V19" i="21" s="1"/>
  <c r="BW21" i="20"/>
  <c r="Q15" i="11"/>
  <c r="P16" i="11"/>
  <c r="P9" i="11"/>
  <c r="BE19" i="13"/>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H20" i="16"/>
  <c r="AE20" i="21"/>
  <c r="AR20" i="21"/>
  <c r="H20" i="12"/>
  <c r="Z20" i="11"/>
  <c r="N20" i="11"/>
  <c r="AF20" i="11"/>
  <c r="AM20" i="11"/>
  <c r="L20" i="17"/>
  <c r="AW20" i="17"/>
  <c r="AB20" i="17"/>
  <c r="AG20" i="17"/>
  <c r="F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I20" i="17"/>
  <c r="AL20" i="21"/>
  <c r="AT20" i="17"/>
  <c r="AH20" i="11"/>
  <c r="P20" i="11"/>
  <c r="AN20" i="17"/>
  <c r="U20" i="16"/>
  <c r="F20" i="17"/>
  <c r="BB20" i="16"/>
  <c r="AB20" i="21"/>
  <c r="N20" i="16"/>
  <c r="AM20" i="21"/>
  <c r="Z20" i="16"/>
  <c r="U20" i="21"/>
  <c r="N20" i="21"/>
  <c r="G20" i="12"/>
  <c r="BG20" i="16"/>
  <c r="J20" i="21"/>
  <c r="Y20" i="11"/>
  <c r="K20" i="12"/>
  <c r="R20" i="17"/>
  <c r="S20" i="17"/>
  <c r="W20" i="16"/>
  <c r="AO20" i="11"/>
  <c r="AZ20" i="11"/>
  <c r="V20" i="11"/>
  <c r="AJ20" i="16"/>
  <c r="AE20" i="16"/>
  <c r="BO20" i="16"/>
  <c r="BC20" i="16"/>
  <c r="AO20" i="17"/>
  <c r="AU20" i="11"/>
  <c r="M20" i="16"/>
  <c r="AR20" i="20"/>
  <c r="AV20" i="17"/>
  <c r="N20" i="17"/>
  <c r="V20" i="20"/>
  <c r="U20" i="20"/>
  <c r="AP20" i="16"/>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<sst xmlns="http://schemas.openxmlformats.org/spreadsheetml/2006/main" count="2094" uniqueCount="914">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</sst>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xJR1TvZGh+gN+RtE9HGSmJt94WBFlxK234jYcNpDHuQfXbD9jEPrGNApp+Qkl7jt+SApjg1I6TWxaWGdc8Gpw==" saltValue="/tsCUwprt/9JDwHSyNiy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9</v>
      </c>
      <c r="F10" s="229">
        <f>IF(ISNUMBER(Datos!K10),Datos!K10," - ")</f>
        <v>4</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13.75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19.915103652517274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9</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428</v>
      </c>
      <c r="D16" s="228">
        <f>IF(ISNUMBER(IF(D_I="SI",Datos!I16,Datos!I16+Datos!AC16)),IF(D_I="SI",Datos!I16,Datos!I16+Datos!AC16)," - ")</f>
        <v>428</v>
      </c>
      <c r="E16" s="229">
        <f>IF(ISNUMBER(IF(D_I="SI",Datos!J16,Datos!J16+Datos!AD16)),IF(D_I="SI",Datos!J16,Datos!J16+Datos!AD16)," - ")</f>
        <v>2385</v>
      </c>
      <c r="F16" s="229">
        <f>IF(ISNUMBER(IF(D_I="SI",Datos!K16,Datos!K16+Datos!AE16)),IF(D_I="SI",Datos!K16,Datos!K16+Datos!AE16)," - ")</f>
        <v>2184</v>
      </c>
      <c r="G16" s="1037" t="str">
        <f>IF(Datos!E16&lt;&gt;"",Datos!E16,Datos!D16)</f>
        <v>04</v>
      </c>
      <c r="H16" s="230">
        <f>IF(ISNUMBER(IF(D_I="SI",Datos!L16,Datos!L16+Datos!AF16)),IF(D_I="SI",Datos!L16,Datos!L16+Datos!AF16)," - ")</f>
        <v>629</v>
      </c>
      <c r="I16" s="1047" t="str">
        <f>IF(ISNUMBER(Datos!AS16/Datos!BM16),Datos!AS16/Datos!BM16," - ")</f>
        <v xml:space="preserve"> - </v>
      </c>
      <c r="J16" s="1048">
        <f>IF(ISNUMBER(Datos!BY16/Datos!CN16),Datos!BY16/Datos!CN16," - ")</f>
        <v>0</v>
      </c>
      <c r="K16" s="233">
        <f t="shared" si="3"/>
        <v>0.46962616822429909</v>
      </c>
      <c r="L16" s="1028">
        <f>IF(ISNUMBER(NºAsuntos!I16/NºAsuntos!G16),(NºAsuntos!I16/NºAsuntos!G16)*11," - ")</f>
        <v>3.1680402930402929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78</v>
      </c>
      <c r="D17" s="228">
        <f>IF(ISNUMBER(IF(D_I="SI",Datos!I17,Datos!I17+Datos!AC17)),IF(D_I="SI",Datos!I17,Datos!I17+Datos!AC17)," - ")</f>
        <v>78</v>
      </c>
      <c r="E17" s="229">
        <f>IF(ISNUMBER(IF(D_I="SI",Datos!J17,Datos!J17+Datos!AD17)),IF(D_I="SI",Datos!J17,Datos!J17+Datos!AD17)," - ")</f>
        <v>459</v>
      </c>
      <c r="F17" s="229">
        <f>IF(ISNUMBER(IF(D_I="SI",Datos!K17,Datos!K17+Datos!AE17)),IF(D_I="SI",Datos!K17,Datos!K17+Datos!AE17)," - ")</f>
        <v>415</v>
      </c>
      <c r="G17" s="1037" t="str">
        <f>IF(Datos!E17&lt;&gt;"",Datos!E17,Datos!D17)</f>
        <v>37</v>
      </c>
      <c r="H17" s="230">
        <f>IF(ISNUMBER(IF(D_I="SI",Datos!L17,Datos!L17+Datos!AF17)),IF(D_I="SI",Datos!L17,Datos!L17+Datos!AF17)," - ")</f>
        <v>122</v>
      </c>
      <c r="I17" s="1047" t="str">
        <f>IF(ISNUMBER(Datos!AS17/Datos!BM17),Datos!AS17/Datos!BM17," - ")</f>
        <v xml:space="preserve"> - </v>
      </c>
      <c r="J17" s="1048" t="str">
        <f>IF(ISNUMBER((Datos!BY17+Datos!BZ17)/Datos!CN17),(Datos!BY17+Datos!BZ17)/Datos!CN17," - ")</f>
        <v xml:space="preserve"> - </v>
      </c>
      <c r="K17" s="233">
        <f t="shared" si="3"/>
        <v>0.5641025641025641</v>
      </c>
      <c r="L17" s="1028">
        <f>IF(ISNUMBER(NºAsuntos!I17/NºAsuntos!G17),(NºAsuntos!I17/NºAsuntos!G17)*11," - ")</f>
        <v>3.2337349397590365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506</v>
      </c>
      <c r="D18" s="1052">
        <f>SUBTOTAL(9,D15:D17)</f>
        <v>506</v>
      </c>
      <c r="E18" s="1053">
        <f>SUBTOTAL(9,E15:E17)</f>
        <v>2844</v>
      </c>
      <c r="F18" s="1053">
        <f>SUBTOTAL(9,F15:F17)</f>
        <v>2599</v>
      </c>
      <c r="G18" s="1055" t="str">
        <f ca="1">INDIRECT(CONCATENATE("G",ROW()-1))</f>
        <v>37</v>
      </c>
      <c r="H18" s="1056">
        <f ca="1">SUMIF(G$14:G17,G18,H$14:H17)</f>
        <v>122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506</v>
      </c>
      <c r="D19" s="1074">
        <f>SUBTOTAL(9,D9:D18)</f>
        <v>506</v>
      </c>
      <c r="E19" s="1075">
        <f>SUBTOTAL(9,E9:E18)</f>
        <v>2853</v>
      </c>
      <c r="F19" s="1075">
        <f>SUBTOTAL(9,F9:F18)</f>
        <v>2603</v>
      </c>
      <c r="G19" s="1076"/>
      <c r="H19" s="1077">
        <f ca="1">SUMIF(B9:B18,"TOTAL",H9:H18)</f>
        <v>122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NxFPal52DntXlmeFTersBsdv5M2SKRHk9+mDVgrPaVD9uHA5OxdzeaWAX+/nHBw0LksrkdN0hq1/LG5f/37qw==" saltValue="8WCz3dd4Uun6+uaZth8U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esnxXfTx484GNxbMvddIXO4ercxum8urQ0+m03f1aGzNSZIRtktdoli4zfQC6T8eeSuGq+HSJk8aBq/KOWsUQ==" saltValue="w8fMOlHItohr3U48SRdR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9</v>
      </c>
      <c r="K10" s="184">
        <v>4</v>
      </c>
      <c r="L10" s="184">
        <v>5</v>
      </c>
      <c r="M10" s="184">
        <v>0</v>
      </c>
      <c r="N10" s="184">
        <v>0</v>
      </c>
      <c r="O10" s="184">
        <v>0</v>
      </c>
      <c r="P10" s="184">
        <v>4</v>
      </c>
      <c r="Q10" s="184">
        <v>0</v>
      </c>
      <c r="R10" s="184">
        <v>7</v>
      </c>
      <c r="S10" s="184">
        <v>0</v>
      </c>
      <c r="T10" s="184">
        <v>5</v>
      </c>
      <c r="U10" s="184">
        <v>5</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5</v>
      </c>
      <c r="BA10" s="129">
        <f t="shared" si="0"/>
        <v>5</v>
      </c>
      <c r="BB10" s="129">
        <f t="shared" si="0"/>
        <v>0</v>
      </c>
      <c r="BC10" s="125">
        <f t="shared" si="0"/>
        <v>0</v>
      </c>
      <c r="BD10" s="126">
        <f>IF(ISNUMBER(BA10/AZ10),BA10/AZ10," - ")</f>
        <v>1</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943</v>
      </c>
      <c r="J12" s="186">
        <v>1800</v>
      </c>
      <c r="K12" s="186">
        <v>965</v>
      </c>
      <c r="L12" s="186">
        <v>1778</v>
      </c>
      <c r="M12" s="186">
        <v>316</v>
      </c>
      <c r="N12" s="186">
        <v>285</v>
      </c>
      <c r="O12" s="184">
        <v>375</v>
      </c>
      <c r="P12" s="186">
        <v>370</v>
      </c>
      <c r="Q12" s="186">
        <v>456</v>
      </c>
      <c r="R12" s="186">
        <v>1230</v>
      </c>
      <c r="S12" s="186">
        <v>686</v>
      </c>
      <c r="T12" s="186">
        <v>1391</v>
      </c>
      <c r="U12" s="186">
        <v>1134</v>
      </c>
      <c r="V12" s="186">
        <v>943</v>
      </c>
      <c r="W12" s="186">
        <v>344</v>
      </c>
      <c r="X12" s="192">
        <v>388</v>
      </c>
      <c r="Y12" s="194">
        <v>30</v>
      </c>
      <c r="Z12" s="184">
        <v>72</v>
      </c>
      <c r="AA12" s="184">
        <v>48</v>
      </c>
      <c r="AB12" s="184">
        <v>56</v>
      </c>
      <c r="AC12" s="186">
        <v>0</v>
      </c>
      <c r="AD12" s="186">
        <v>0</v>
      </c>
      <c r="AE12" s="186">
        <v>0</v>
      </c>
      <c r="AF12" s="192">
        <v>0</v>
      </c>
      <c r="AG12" s="205">
        <v>38</v>
      </c>
      <c r="AH12" s="186">
        <v>105</v>
      </c>
      <c r="AI12" s="186">
        <v>113</v>
      </c>
      <c r="AJ12" s="206">
        <v>30</v>
      </c>
      <c r="AK12" s="185">
        <v>0</v>
      </c>
      <c r="AL12" s="186">
        <v>0</v>
      </c>
      <c r="AM12" s="186">
        <v>0</v>
      </c>
      <c r="AN12" s="192">
        <v>0</v>
      </c>
      <c r="AO12" s="262">
        <v>2</v>
      </c>
      <c r="AP12" s="158">
        <v>2</v>
      </c>
      <c r="AQ12" s="158">
        <v>2</v>
      </c>
      <c r="AR12" s="157">
        <v>2</v>
      </c>
      <c r="AS12" s="343" t="s">
        <v>803</v>
      </c>
      <c r="AT12" s="206"/>
      <c r="AU12" s="205"/>
      <c r="AV12" s="206"/>
      <c r="AW12" s="205"/>
      <c r="AX12" s="206"/>
      <c r="AY12" s="126">
        <f t="shared" si="1"/>
        <v>724</v>
      </c>
      <c r="AZ12" s="127">
        <f t="shared" si="1"/>
        <v>1496</v>
      </c>
      <c r="BA12" s="127">
        <f t="shared" si="1"/>
        <v>1247</v>
      </c>
      <c r="BB12" s="127">
        <f t="shared" si="1"/>
        <v>973</v>
      </c>
      <c r="BC12" s="125">
        <f>IF(ISNUMBER(X12),X12," - ")</f>
        <v>388</v>
      </c>
      <c r="BD12" s="126">
        <f t="shared" si="2"/>
        <v>0.83355614973262027</v>
      </c>
      <c r="BE12" s="127">
        <f t="shared" si="3"/>
        <v>0.7802726543704892</v>
      </c>
      <c r="BF12" s="127">
        <f t="shared" si="4"/>
        <v>0.3111467522052927</v>
      </c>
      <c r="BG12" s="199">
        <f t="shared" si="5"/>
        <v>1.7802726543704892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943</v>
      </c>
      <c r="J13" s="187">
        <f t="shared" si="6"/>
        <v>1809</v>
      </c>
      <c r="K13" s="187">
        <f t="shared" si="6"/>
        <v>969</v>
      </c>
      <c r="L13" s="187">
        <f t="shared" si="6"/>
        <v>1783</v>
      </c>
      <c r="M13" s="187">
        <f t="shared" si="6"/>
        <v>316</v>
      </c>
      <c r="N13" s="187">
        <f t="shared" si="6"/>
        <v>285</v>
      </c>
      <c r="O13" s="187">
        <f t="shared" si="6"/>
        <v>375</v>
      </c>
      <c r="P13" s="187">
        <f t="shared" si="6"/>
        <v>374</v>
      </c>
      <c r="Q13" s="187">
        <f t="shared" si="6"/>
        <v>456</v>
      </c>
      <c r="R13" s="187">
        <f t="shared" si="6"/>
        <v>1237</v>
      </c>
      <c r="S13" s="187">
        <f t="shared" si="6"/>
        <v>686</v>
      </c>
      <c r="T13" s="187">
        <f t="shared" si="6"/>
        <v>1396</v>
      </c>
      <c r="U13" s="187">
        <f t="shared" si="6"/>
        <v>1139</v>
      </c>
      <c r="V13" s="187">
        <f t="shared" si="6"/>
        <v>943</v>
      </c>
      <c r="W13" s="187">
        <f t="shared" si="6"/>
        <v>344</v>
      </c>
      <c r="X13" s="187">
        <f t="shared" si="6"/>
        <v>388</v>
      </c>
      <c r="Y13" s="187">
        <f t="shared" si="6"/>
        <v>30</v>
      </c>
      <c r="Z13" s="187">
        <f t="shared" si="6"/>
        <v>72</v>
      </c>
      <c r="AA13" s="187">
        <f t="shared" si="6"/>
        <v>48</v>
      </c>
      <c r="AB13" s="187">
        <f t="shared" si="6"/>
        <v>56</v>
      </c>
      <c r="AC13" s="187">
        <f t="shared" si="6"/>
        <v>0</v>
      </c>
      <c r="AD13" s="187">
        <f t="shared" si="6"/>
        <v>0</v>
      </c>
      <c r="AE13" s="187">
        <f t="shared" si="6"/>
        <v>0</v>
      </c>
      <c r="AF13" s="187">
        <f>SUBTOTAL(9,AF9:AF12)</f>
        <v>0</v>
      </c>
      <c r="AG13" s="187">
        <f t="shared" ref="AG13:AT13" si="7">SUBTOTAL(9,AG8:AG12)</f>
        <v>38</v>
      </c>
      <c r="AH13" s="187">
        <f t="shared" si="7"/>
        <v>105</v>
      </c>
      <c r="AI13" s="187">
        <f t="shared" si="7"/>
        <v>113</v>
      </c>
      <c r="AJ13" s="187">
        <f t="shared" si="7"/>
        <v>30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724</v>
      </c>
      <c r="AZ13" s="187">
        <f>SUBTOTAL(9,AZ8:AZ12)</f>
        <v>1501</v>
      </c>
      <c r="BA13" s="187">
        <f>SUBTOTAL(9,BA8:BA12)</f>
        <v>1252</v>
      </c>
      <c r="BB13" s="187">
        <f>SUBTOTAL(9,BB8:BB12)</f>
        <v>973</v>
      </c>
      <c r="BC13" s="187">
        <f>SUBTOTAL(9,BC8:BC12)</f>
        <v>388</v>
      </c>
      <c r="BD13" s="208">
        <f>IF(ISNUMBER(BA13/AZ13),BA13/AZ13," - ")</f>
        <v>0.83411059293804135</v>
      </c>
      <c r="BE13" s="209">
        <f>IF(ISNUMBER(BB13/BA13),BB13/BA13, " - ")</f>
        <v>0.77715654952076674</v>
      </c>
      <c r="BF13" s="209">
        <f>IF(ISNUMBER(BC13/BA13),BC13/BA13, " - ")</f>
        <v>0.30990415335463256</v>
      </c>
      <c r="BG13" s="210">
        <f>IF(ISNUMBER((AY13+AZ13)/BA13),(AY13+AZ13)/BA13," - ")</f>
        <v>1.7771565495207668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428</v>
      </c>
      <c r="J16" s="186">
        <v>2385</v>
      </c>
      <c r="K16" s="186">
        <v>2184</v>
      </c>
      <c r="L16" s="186">
        <v>629</v>
      </c>
      <c r="M16" s="186">
        <v>246</v>
      </c>
      <c r="N16" s="186">
        <v>1451</v>
      </c>
      <c r="O16" s="184">
        <v>0</v>
      </c>
      <c r="P16" s="186">
        <v>76</v>
      </c>
      <c r="Q16" s="186">
        <v>79</v>
      </c>
      <c r="R16" s="186">
        <v>75</v>
      </c>
      <c r="S16" s="186">
        <v>401</v>
      </c>
      <c r="T16" s="186">
        <v>2209</v>
      </c>
      <c r="U16" s="186">
        <v>2182</v>
      </c>
      <c r="V16" s="186">
        <v>428</v>
      </c>
      <c r="W16" s="186">
        <v>164</v>
      </c>
      <c r="X16" s="192">
        <v>1583</v>
      </c>
      <c r="Y16" s="205">
        <v>0</v>
      </c>
      <c r="Z16" s="186">
        <v>0</v>
      </c>
      <c r="AA16" s="186">
        <v>0</v>
      </c>
      <c r="AB16" s="186">
        <v>0</v>
      </c>
      <c r="AC16" s="186">
        <v>0</v>
      </c>
      <c r="AD16" s="186">
        <v>5</v>
      </c>
      <c r="AE16" s="186">
        <v>5</v>
      </c>
      <c r="AF16" s="192">
        <v>0</v>
      </c>
      <c r="AG16" s="205">
        <v>0</v>
      </c>
      <c r="AH16" s="186">
        <v>0</v>
      </c>
      <c r="AI16" s="186">
        <v>0</v>
      </c>
      <c r="AJ16" s="206">
        <v>0</v>
      </c>
      <c r="AK16" s="185">
        <v>4</v>
      </c>
      <c r="AL16" s="186">
        <v>4</v>
      </c>
      <c r="AM16" s="186">
        <v>8</v>
      </c>
      <c r="AN16" s="192">
        <v>0</v>
      </c>
      <c r="AO16" s="262">
        <v>2</v>
      </c>
      <c r="AP16" s="158">
        <v>2</v>
      </c>
      <c r="AQ16" s="158">
        <v>2</v>
      </c>
      <c r="AR16" s="158">
        <v>2</v>
      </c>
      <c r="AS16" s="343" t="s">
        <v>487</v>
      </c>
      <c r="AT16" s="206"/>
      <c r="AU16" s="205"/>
      <c r="AV16" s="206"/>
      <c r="AW16" s="205"/>
      <c r="AX16" s="206"/>
      <c r="AY16" s="126">
        <f t="shared" si="9"/>
        <v>401</v>
      </c>
      <c r="AZ16" s="127">
        <f t="shared" si="9"/>
        <v>2209</v>
      </c>
      <c r="BA16" s="127">
        <f t="shared" si="9"/>
        <v>2182</v>
      </c>
      <c r="BB16" s="127">
        <f t="shared" si="9"/>
        <v>428</v>
      </c>
      <c r="BC16" s="125">
        <f>IF(ISNUMBER(W16),W16," - ")</f>
        <v>164</v>
      </c>
      <c r="BD16" s="126">
        <f t="shared" ref="BD16" si="11">IF(ISNUMBER(BA16/AZ16),BA16/AZ16," - ")</f>
        <v>0.98777727478497057</v>
      </c>
      <c r="BE16" s="127">
        <f t="shared" ref="BE16" si="12">IF(ISNUMBER(BB16/BA16),BB16/BA16, " - ")</f>
        <v>0.19615032080659944</v>
      </c>
      <c r="BF16" s="127">
        <f t="shared" ref="BF16" si="13">IF(ISNUMBER(BC16/BA16),BC16/BA16, " - ")</f>
        <v>7.5160403299725023E-2</v>
      </c>
      <c r="BG16" s="199">
        <f t="shared" si="10"/>
        <v>1.1961503208065996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78</v>
      </c>
      <c r="J17" s="186">
        <v>459</v>
      </c>
      <c r="K17" s="186">
        <v>415</v>
      </c>
      <c r="L17" s="186">
        <v>122</v>
      </c>
      <c r="M17" s="186">
        <v>58</v>
      </c>
      <c r="N17" s="186">
        <v>309</v>
      </c>
      <c r="O17" s="186">
        <v>0</v>
      </c>
      <c r="P17" s="186">
        <v>0</v>
      </c>
      <c r="Q17" s="186">
        <v>0</v>
      </c>
      <c r="R17" s="186">
        <v>0</v>
      </c>
      <c r="S17" s="186">
        <v>14</v>
      </c>
      <c r="T17" s="186">
        <v>395</v>
      </c>
      <c r="U17" s="186">
        <v>332</v>
      </c>
      <c r="V17" s="186">
        <v>78</v>
      </c>
      <c r="W17" s="186">
        <v>56</v>
      </c>
      <c r="X17" s="192">
        <v>286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395</v>
      </c>
      <c r="BA17" s="129">
        <f t="shared" si="14"/>
        <v>332</v>
      </c>
      <c r="BB17" s="129">
        <f t="shared" si="14"/>
        <v>78</v>
      </c>
      <c r="BC17" s="125">
        <f>IF(ISNUMBER(W17),W17," - ")</f>
        <v>56</v>
      </c>
      <c r="BD17" s="126">
        <f>IF(ISNUMBER(BA17/AZ17),BA17/AZ17," - ")</f>
        <v>0.84050632911392409</v>
      </c>
      <c r="BE17" s="127">
        <f>IF(ISNUMBER(BB17/BA17),BB17/BA17, " - ")</f>
        <v>0.23493975903614459</v>
      </c>
      <c r="BF17" s="127">
        <f>IF(ISNUMBER(BC17/BA17),BC17/BA17, " - ")</f>
        <v>0.16867469879518071</v>
      </c>
      <c r="BG17" s="199">
        <f>IF(ISNUMBER((AY17+AZ17)/BA17),(AY17+AZ17)/BA17," - ")</f>
        <v>1.2319277108433735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506</v>
      </c>
      <c r="J18" s="187">
        <f t="shared" si="15"/>
        <v>2844</v>
      </c>
      <c r="K18" s="187">
        <f t="shared" si="15"/>
        <v>2599</v>
      </c>
      <c r="L18" s="187">
        <f t="shared" si="15"/>
        <v>751</v>
      </c>
      <c r="M18" s="187">
        <f t="shared" si="15"/>
        <v>304</v>
      </c>
      <c r="N18" s="187">
        <f t="shared" si="15"/>
        <v>1760</v>
      </c>
      <c r="O18" s="187">
        <f t="shared" si="15"/>
        <v>0</v>
      </c>
      <c r="P18" s="187">
        <f t="shared" si="15"/>
        <v>76</v>
      </c>
      <c r="Q18" s="187">
        <f t="shared" si="15"/>
        <v>79</v>
      </c>
      <c r="R18" s="187">
        <f t="shared" si="15"/>
        <v>75</v>
      </c>
      <c r="S18" s="187">
        <f t="shared" si="15"/>
        <v>415</v>
      </c>
      <c r="T18" s="187">
        <f t="shared" si="15"/>
        <v>2604</v>
      </c>
      <c r="U18" s="187">
        <f t="shared" si="15"/>
        <v>2514</v>
      </c>
      <c r="V18" s="187">
        <f t="shared" si="15"/>
        <v>506</v>
      </c>
      <c r="W18" s="187">
        <f t="shared" si="15"/>
        <v>220</v>
      </c>
      <c r="X18" s="187">
        <f t="shared" si="15"/>
        <v>1869</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4</v>
      </c>
      <c r="AL18" s="187">
        <f t="shared" si="15"/>
        <v>4</v>
      </c>
      <c r="AM18" s="187">
        <f t="shared" si="15"/>
        <v>8</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415</v>
      </c>
      <c r="AZ18" s="187">
        <f>SUBTOTAL(9,AZ14:AZ17)</f>
        <v>2604</v>
      </c>
      <c r="BA18" s="187">
        <f>SUBTOTAL(9,BA14:BA17)</f>
        <v>2514</v>
      </c>
      <c r="BB18" s="187">
        <f>SUBTOTAL(9,BB14:BB17)</f>
        <v>506</v>
      </c>
      <c r="BC18" s="187">
        <f>SUBTOTAL(9,BC14:BC17)</f>
        <v>220</v>
      </c>
      <c r="BD18" s="208">
        <f>IF(ISNUMBER(BA18/AZ18),BA18/AZ18," - ")</f>
        <v>0.96543778801843316</v>
      </c>
      <c r="BE18" s="209">
        <f>IF(ISNUMBER(BB18/BA18),BB18/BA18, " - ")</f>
        <v>0.20127287191726331</v>
      </c>
      <c r="BF18" s="209">
        <f>IF(ISNUMBER(BC18/BA18),BC18/BA18, " - ")</f>
        <v>8.7509944311853619E-2</v>
      </c>
      <c r="BG18" s="210">
        <f>IF(ISNUMBER((AY18+AZ18)/BA18),(AY18+AZ18)/BA18," - ")</f>
        <v>1.2008750994431185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1449</v>
      </c>
      <c r="J19" s="134">
        <f t="shared" si="18"/>
        <v>4653</v>
      </c>
      <c r="K19" s="134">
        <f t="shared" si="18"/>
        <v>3568</v>
      </c>
      <c r="L19" s="134">
        <f t="shared" si="18"/>
        <v>2534</v>
      </c>
      <c r="M19" s="134">
        <f t="shared" si="18"/>
        <v>620</v>
      </c>
      <c r="N19" s="134">
        <f t="shared" si="18"/>
        <v>2045</v>
      </c>
      <c r="O19" s="134">
        <f t="shared" si="18"/>
        <v>375</v>
      </c>
      <c r="P19" s="134">
        <f t="shared" si="18"/>
        <v>450</v>
      </c>
      <c r="Q19" s="134">
        <f t="shared" si="18"/>
        <v>535</v>
      </c>
      <c r="R19" s="134">
        <f t="shared" si="18"/>
        <v>1312</v>
      </c>
      <c r="S19" s="134">
        <f t="shared" si="18"/>
        <v>1101</v>
      </c>
      <c r="T19" s="134">
        <f t="shared" si="18"/>
        <v>4000</v>
      </c>
      <c r="U19" s="134">
        <f t="shared" si="18"/>
        <v>3653</v>
      </c>
      <c r="V19" s="134">
        <f t="shared" si="18"/>
        <v>1449</v>
      </c>
      <c r="W19" s="134">
        <f t="shared" si="18"/>
        <v>564</v>
      </c>
      <c r="X19" s="134">
        <f t="shared" si="18"/>
        <v>2257</v>
      </c>
      <c r="Y19" s="134">
        <f t="shared" si="18"/>
        <v>30</v>
      </c>
      <c r="Z19" s="134">
        <f t="shared" si="18"/>
        <v>72</v>
      </c>
      <c r="AA19" s="134">
        <f t="shared" si="18"/>
        <v>48</v>
      </c>
      <c r="AB19" s="134">
        <f t="shared" si="18"/>
        <v>56</v>
      </c>
      <c r="AC19" s="134">
        <f t="shared" si="18"/>
        <v>0</v>
      </c>
      <c r="AD19" s="134">
        <f t="shared" si="18"/>
        <v>5</v>
      </c>
      <c r="AE19" s="134">
        <f t="shared" si="18"/>
        <v>5</v>
      </c>
      <c r="AF19" s="134">
        <f t="shared" si="18"/>
        <v>0</v>
      </c>
      <c r="AG19" s="134">
        <f t="shared" si="18"/>
        <v>38</v>
      </c>
      <c r="AH19" s="134">
        <f t="shared" si="18"/>
        <v>105</v>
      </c>
      <c r="AI19" s="134">
        <f t="shared" si="18"/>
        <v>113</v>
      </c>
      <c r="AJ19" s="134">
        <f t="shared" si="18"/>
        <v>30</v>
      </c>
      <c r="AK19" s="134">
        <f t="shared" si="18"/>
        <v>4</v>
      </c>
      <c r="AL19" s="134">
        <f t="shared" si="18"/>
        <v>4</v>
      </c>
      <c r="AM19" s="134">
        <f t="shared" si="18"/>
        <v>8</v>
      </c>
      <c r="AN19" s="213">
        <f t="shared" si="18"/>
        <v>0</v>
      </c>
      <c r="AO19" s="214">
        <v>3</v>
      </c>
      <c r="AP19" s="214">
        <v>2</v>
      </c>
      <c r="AQ19" s="214">
        <v>2</v>
      </c>
      <c r="AR19" s="214">
        <v>2</v>
      </c>
      <c r="AS19" s="156">
        <f t="shared" si="18"/>
        <v>0</v>
      </c>
      <c r="AT19" s="156">
        <f t="shared" si="18"/>
        <v>0</v>
      </c>
      <c r="AU19" s="214"/>
      <c r="AV19" s="215"/>
      <c r="AW19" s="214"/>
      <c r="AX19" s="215"/>
      <c r="AY19" s="133">
        <f>SUBTOTAL(9,AY9:AY18)</f>
        <v>1139</v>
      </c>
      <c r="AZ19" s="134">
        <f>SUBTOTAL(9,AZ9:AZ18)</f>
        <v>4105</v>
      </c>
      <c r="BA19" s="134">
        <f>SUBTOTAL(9,BA9:BA18)</f>
        <v>3766</v>
      </c>
      <c r="BB19" s="134">
        <f>SUBTOTAL(9,BB9:BB18)</f>
        <v>1479</v>
      </c>
      <c r="BC19" s="135">
        <f>SUBTOTAL(9,BC9:BC18)</f>
        <v>608</v>
      </c>
      <c r="BD19" s="216">
        <f>IF(ISNUMBER(BA19/AZ19),BA19/AZ19," - ")</f>
        <v>0.91741778319123024</v>
      </c>
      <c r="BE19" s="213">
        <f>IF(ISNUMBER(BB19/BA19),BB19/BA19, " - ")</f>
        <v>0.39272437599575144</v>
      </c>
      <c r="BF19" s="213">
        <f>IF(ISNUMBER(BC19/BA19),BC19/BA19, " - ")</f>
        <v>0.16144450345193839</v>
      </c>
      <c r="BG19" s="135">
        <f>IF(ISNUMBER((AY19+AZ19)/BA19),(AY19+AZ19)/BA19," - ")</f>
        <v>1.3924588422729687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lbbU8VdQdryoI6facOBH6n+xhYIKgGdOtoe0SH+esmEiO5SoaIJ7ZIacXPWuIOFznm754mm1K8v4H/oJ7OMig==" saltValue="LPe/jpsWCuSJDlSNoU6W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TLJs8UcVO/nGm90gz0JhwgUo4XK+Ts9VK06FXFo59M7b2v/XDVFhMOY/I1qhtI/YIPkruhqgSKa+7hYp/S6dg==" saltValue="hUg8pftC9fACF34EwCd7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MARTOS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5</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0.44444444444444442</v>
      </c>
      <c r="BH10" s="263">
        <f>IF(ISNUMBER(((Datos!L10/Datos!K10)*11)/factor_trimestre),((Datos!L10/Datos!K10)*11)/factor_trimestre," - ")</f>
        <v>13.75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1.3333333333333333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72</v>
      </c>
      <c r="O12" s="337"/>
      <c r="P12" s="337"/>
      <c r="Q12" s="229">
        <f>IF(ISNUMBER(Datos!P12),Datos!P12,0)</f>
        <v>370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56</v>
      </c>
      <c r="AI12" s="337" t="str">
        <f>IF(ISNUMBER(Datos!CD12),Datos!CD12,"-")</f>
        <v>-</v>
      </c>
      <c r="AJ12" s="337" t="str">
        <f>IF(ISNUMBER(Datos!EN12),Datos!EN12," - ")</f>
        <v xml:space="preserve"> - </v>
      </c>
      <c r="AK12" s="337"/>
      <c r="AL12" s="482"/>
      <c r="AM12" s="338">
        <f>IF(ISNUMBER(Datos!R12),Datos!R12," - ")</f>
        <v>1230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316</v>
      </c>
      <c r="BD12" s="232">
        <f>IF(ISNUMBER(Datos!N12),Datos!N12," - ")</f>
        <v>285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0.5411324786324786</v>
      </c>
      <c r="BH12" s="263">
        <f>IF(ISNUMBER(((IF(J_V="SI",Datos!L12/Datos!K12,(Datos!L12+Datos!AB12)/(Datos!K12+Datos!AA12)))*11)/factor_trimestre),((IF(J_V="SI",Datos!L12/Datos!K12,(Datos!L12+Datos!AB12)/(Datos!K12+Datos!AA12)))*11)/factor_trimestre," - ")</f>
        <v>19.915103652517274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-6.5349544072948323E-2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72</v>
      </c>
      <c r="O13" s="903">
        <f t="shared" si="0"/>
        <v>0</v>
      </c>
      <c r="P13" s="903">
        <f t="shared" si="0"/>
        <v>0</v>
      </c>
      <c r="Q13" s="902">
        <f t="shared" si="0"/>
        <v>374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456</v>
      </c>
      <c r="AD13" s="902">
        <f t="shared" si="1"/>
        <v>0</v>
      </c>
      <c r="AE13" s="902">
        <f t="shared" si="1"/>
        <v>0</v>
      </c>
      <c r="AF13" s="902">
        <f t="shared" si="1"/>
        <v>5</v>
      </c>
      <c r="AG13" s="902">
        <f t="shared" si="1"/>
        <v>0</v>
      </c>
      <c r="AH13" s="902">
        <f t="shared" si="1"/>
        <v>56</v>
      </c>
      <c r="AI13" s="902">
        <f t="shared" si="1"/>
        <v>0</v>
      </c>
      <c r="AJ13" s="902">
        <f t="shared" si="1"/>
        <v>0</v>
      </c>
      <c r="AK13" s="902">
        <f t="shared" si="1"/>
        <v>0</v>
      </c>
      <c r="AL13" s="902">
        <f t="shared" si="1"/>
        <v>0</v>
      </c>
      <c r="AM13" s="902">
        <f t="shared" si="1"/>
        <v>1237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316</v>
      </c>
      <c r="BD13" s="902">
        <f t="shared" si="1"/>
        <v>285</v>
      </c>
      <c r="BE13" s="902">
        <f t="shared" si="1"/>
        <v>0</v>
      </c>
      <c r="BF13" s="902">
        <f t="shared" si="1"/>
        <v>0</v>
      </c>
      <c r="BG13" s="902">
        <f>IF(ISNUMBER(Datos!K13/Datos!J13),Datos!K13/Datos!J13," - ")</f>
        <v>0.53565505804311775</v>
      </c>
      <c r="BH13" s="906">
        <f>IF(ISNUMBER(((Datos!L13/Datos!K13)*11)/factor_trimestre),((Datos!L13/Datos!K13)*11)/factor_trimestre," - ")</f>
        <v>20.240454076367389</v>
      </c>
      <c r="BI13" s="902">
        <f>IF(ISNUMBER('Resol  Asuntos'!D13/NºAsuntos!G13),'Resol  Asuntos'!D13/NºAsuntos!G13," - ")</f>
        <v>0.31071779744346117</v>
      </c>
      <c r="BJ13" s="902" t="str">
        <f>IF(ISNUMBER(Datos!CI13/Datos!CJ13),Datos!CI13/Datos!CJ13," - ")</f>
        <v xml:space="preserve"> - </v>
      </c>
      <c r="BK13" s="902">
        <f>SUBTOTAL(9,BK8:BK12)</f>
        <v>0</v>
      </c>
      <c r="BL13" s="902" t="str">
        <f>IF(ISNUMBER((I13-AB13+L13)/(F13)),(I13-AB13+L13)/(F13)," - ")</f>
        <v xml:space="preserve"> - </v>
      </c>
      <c r="BM13" s="907">
        <f>SUBTOTAL(9,BM9:BM12)</f>
        <v>1.2679837892603849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428</v>
      </c>
      <c r="G16" s="601">
        <f>IF(ISNUMBER(IF(D_I="SI",Datos!I16,Datos!I16+Datos!AC16)),IF(D_I="SI",Datos!I16,Datos!I16+Datos!AC16)," - ")</f>
        <v>428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2184</v>
      </c>
      <c r="AC16" s="229">
        <f>IF(ISNUMBER(Datos!Q16),Datos!Q16," - ")</f>
        <v>79</v>
      </c>
      <c r="AD16" s="337"/>
      <c r="AE16" s="487"/>
      <c r="AF16" s="599">
        <f>IF(ISNUMBER(IF(D_I="SI",Datos!L16,Datos!L16+Datos!AF16)),IF(D_I="SI",Datos!L16,Datos!L16+Datos!AF16)," - ")</f>
        <v>629</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246</v>
      </c>
      <c r="BD16" s="232">
        <f>IF(ISNUMBER(Datos!N16),Datos!N16," - ")</f>
        <v>1451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0.91572327044025159</v>
      </c>
      <c r="BH16" s="263">
        <f>IF(ISNUMBER(((IF(D_I="SI",Datos!L16/Datos!K16,(Datos!L16+Datos!AF16)/(Datos!K16+Datos!AE16)))*11)/factor_trimestre),((IF(D_I="SI",Datos!L16/Datos!K16,(Datos!L16+Datos!AF16)/(Datos!K16+Datos!AE16)))*11)/factor_trimestre," - ")</f>
        <v>3.1680402930402929</v>
      </c>
      <c r="BI16" s="246">
        <f>IF(ISNUMBER('Resol  Asuntos'!D16/NºAsuntos!G16),'Resol  Asuntos'!D16/NºAsuntos!G16," - ")</f>
        <v>0.11263736263736264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415</v>
      </c>
      <c r="AC17" s="229">
        <f>IF(ISNUMBER(Datos!Q17),Datos!Q17," - ")</f>
        <v>0</v>
      </c>
      <c r="AD17" s="337"/>
      <c r="AE17" s="487"/>
      <c r="AF17" s="335">
        <f>IF(ISNUMBER(Datos!L17),Datos!L17,"-")</f>
        <v>122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58</v>
      </c>
      <c r="BD17" s="232">
        <f>IF(ISNUMBER(Datos!N17),Datos!N17," - ")</f>
        <v>309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0.9041394335511983</v>
      </c>
      <c r="BH17" s="263">
        <f>IF(ISNUMBER(((IF(D_I="SI",Datos!L17/Datos!K17,(Datos!L17+Datos!AF17)/(Datos!K17+Datos!AE17)))*11)/factor_trimestre),((IF(D_I="SI",Datos!L17/Datos!K17,(Datos!L17+Datos!AF17)/(Datos!K17+Datos!AE17)))*11)/factor_trimestre," - ")</f>
        <v>3.2337349397590365</v>
      </c>
      <c r="BI17" s="246">
        <f>IF(ISNUMBER('Resol  Asuntos'!D17/NºAsuntos!G17),'Resol  Asuntos'!D17/NºAsuntos!G17," - ")</f>
        <v>0.13975903614457832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428</v>
      </c>
      <c r="G18" s="901">
        <f>SUBTOTAL(9,G15:G17)</f>
        <v>506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2599</v>
      </c>
      <c r="AC18" s="902">
        <f t="shared" si="4"/>
        <v>79</v>
      </c>
      <c r="AD18" s="902">
        <f t="shared" si="4"/>
        <v>0</v>
      </c>
      <c r="AE18" s="902">
        <f t="shared" si="4"/>
        <v>0</v>
      </c>
      <c r="AF18" s="902">
        <f t="shared" si="4"/>
        <v>751</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304</v>
      </c>
      <c r="BD18" s="902">
        <f t="shared" si="4"/>
        <v>1760</v>
      </c>
      <c r="BE18" s="902">
        <f t="shared" si="4"/>
        <v>0</v>
      </c>
      <c r="BF18" s="902">
        <f t="shared" si="4"/>
        <v>0</v>
      </c>
      <c r="BG18" s="902">
        <f>IF(ISNUMBER(Datos!K18/Datos!J18),Datos!K18/Datos!J18," - ")</f>
        <v>0.91385372714486635</v>
      </c>
      <c r="BH18" s="906">
        <f>IF(ISNUMBER(((Datos!L18/Datos!K18)*11)/factor_trimestre),((Datos!L18/Datos!K18)*11)/factor_trimestre," - ")</f>
        <v>3.1785302039245864</v>
      </c>
      <c r="BI18" s="902">
        <f>SUBTOTAL(9,BI15:BI17)</f>
        <v>0.25239639878194098</v>
      </c>
      <c r="BJ18" s="902">
        <f>SUBTOTAL(9,BJ15:BJ17)</f>
        <v>0</v>
      </c>
      <c r="BK18" s="902">
        <f>SUBTOTAL(9,BK15:BK17)</f>
        <v>0</v>
      </c>
      <c r="BL18" s="902">
        <f>IF(ISNUMBER((I18-AB18+L18)/(F18)),(I18-AB18+L18)/(F18)," - ")</f>
        <v>-6.0724299065420562</v>
      </c>
      <c r="BM18" s="908">
        <f>IF(ISNUMBER((Datos!P18-Datos!Q18)/(Datos!R18-Datos!P18+Datos!Q18)),(Datos!P18-Datos!Q18)/(Datos!R18-Datos!P18+Datos!Q18)," - ")</f>
        <v>-3.8461538461538464E-2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428</v>
      </c>
      <c r="G19" s="823">
        <f t="shared" si="6"/>
        <v>506</v>
      </c>
      <c r="H19" s="825">
        <f t="shared" si="6"/>
        <v>0</v>
      </c>
      <c r="I19" s="823">
        <f t="shared" si="6"/>
        <v>0</v>
      </c>
      <c r="J19" s="825">
        <f t="shared" si="6"/>
        <v>0</v>
      </c>
      <c r="K19" s="825">
        <f t="shared" si="6"/>
        <v>0</v>
      </c>
      <c r="L19" s="884">
        <f t="shared" si="6"/>
        <v>0</v>
      </c>
      <c r="M19" s="884">
        <f t="shared" si="6"/>
        <v>0</v>
      </c>
      <c r="N19" s="884">
        <f t="shared" si="6"/>
        <v>72</v>
      </c>
      <c r="O19" s="884">
        <f t="shared" si="6"/>
        <v>0</v>
      </c>
      <c r="P19" s="884">
        <f t="shared" si="6"/>
        <v>0</v>
      </c>
      <c r="Q19" s="825">
        <f t="shared" si="6"/>
        <v>450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2603</v>
      </c>
      <c r="AC19" s="824">
        <f t="shared" si="7"/>
        <v>535</v>
      </c>
      <c r="AD19" s="824">
        <f t="shared" si="7"/>
        <v>0</v>
      </c>
      <c r="AE19" s="824">
        <f t="shared" si="7"/>
        <v>0</v>
      </c>
      <c r="AF19" s="831">
        <f t="shared" si="7"/>
        <v>756</v>
      </c>
      <c r="AG19" s="831">
        <f t="shared" si="7"/>
        <v>0</v>
      </c>
      <c r="AH19" s="831">
        <f t="shared" si="7"/>
        <v>56</v>
      </c>
      <c r="AI19" s="831">
        <f t="shared" si="7"/>
        <v>0</v>
      </c>
      <c r="AJ19" s="824">
        <f t="shared" si="7"/>
        <v>0</v>
      </c>
      <c r="AK19" s="831">
        <f t="shared" si="7"/>
        <v>0</v>
      </c>
      <c r="AL19" s="831">
        <f t="shared" si="7"/>
        <v>0</v>
      </c>
      <c r="AM19" s="831">
        <f t="shared" si="7"/>
        <v>1312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620</v>
      </c>
      <c r="BD19" s="823">
        <f t="shared" si="7"/>
        <v>2045</v>
      </c>
      <c r="BE19" s="823">
        <f t="shared" si="7"/>
        <v>0</v>
      </c>
      <c r="BF19" s="833">
        <f t="shared" si="7"/>
        <v>0</v>
      </c>
      <c r="BG19" s="918">
        <f>IF(ISNUMBER(Datos!K19/Datos!J19),Datos!K19/Datos!J19," - ")</f>
        <v>0.76681710724263918</v>
      </c>
      <c r="BH19" s="918">
        <f>IF(ISNUMBER(((Datos!L19/Datos!K19)*11)/factor_trimestre),((Datos!L19/Datos!K19)*11)/factor_trimestre," - ")</f>
        <v>7.8122197309417043</v>
      </c>
      <c r="BI19" s="816">
        <f>IF(ISNUMBER(Datos!J19/Datos!I19),Datos!J19/Datos!I19," - ")</f>
        <v>3.2111801242236027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-6.0817757009345792</v>
      </c>
      <c r="BM19" s="892">
        <f>IF(ISNUMBER((Datos!P19-Datos!Q19+R19)/(Datos!R19-Datos!P19+Datos!Q19-R19)),(Datos!P19-Datos!Q19+R19)/(Datos!R19-Datos!P19+Datos!Q19-R19)," - ")</f>
        <v>-6.084466714387974E-2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247.10591521315982</v>
      </c>
      <c r="G21" s="555">
        <f>IF(ISNUMBER(STDEV(G8:G18)),STDEV(G8:G18),"-")</f>
        <v>245.19135384429853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1252.6398923872734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141.2383328514843</v>
      </c>
      <c r="BD21" s="554"/>
      <c r="BE21" s="554">
        <f>IF(ISNUMBER(STDEV(BE8:BE18)),STDEV(BE8:BE18),"-")</f>
        <v>0</v>
      </c>
      <c r="BF21" s="559">
        <f>IF(ISNUMBER(STDEV(BF8:BF18)),STDEV(BF8:BF18),"-")</f>
        <v>0</v>
      </c>
      <c r="BG21" s="778">
        <f>IF(ISNUMBER(STDEV(BG8:BG18)),STDEV(BG8:BG18),"-")</f>
        <v>0.22405196909933967</v>
      </c>
      <c r="BH21" s="779">
        <f>IF(ISNUMBER(STDEV(BH8:BH18)),STDEV(BH8:BH18),"-")</f>
        <v>8.4166969722156555</v>
      </c>
      <c r="BI21" s="252">
        <f>IF(ISNUMBER(STDEV(BI8:BI18)),STDEV(BI8:BI18),"-")</f>
        <v>9.3460995019068321E-2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wEz9kodBlYpjIVkuhLrIhB7stHwXFy58/QGmQnRojVcVo+J7CvpZkwjttqfmXsplaLvSBRso/qptlpVy0ilAA==" saltValue="OnwrjH0GbXFfLUBBxuAI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MARTOS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5</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1.3333333333333333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456</v>
      </c>
      <c r="AA12" s="335" t="str">
        <f>IF(ISNUMBER(IF(J_V="SI",Datos!L12,Datos!L12+Datos!AB12)-IF(Monitorios="SI",Datos!CD12,0)),
                          IF(J_V="SI",Datos!L12,Datos!L12+Datos!AB12)-IF(Monitorios="SI",Datos!CD12,0),
                          " - ")</f>
        <v xml:space="preserve"> - </v>
      </c>
      <c r="AB12" s="337"/>
      <c r="AC12" s="337"/>
      <c r="AD12" s="487"/>
      <c r="AE12" s="487">
        <f>IF(ISNUMBER(Datos!R12),Datos!R12," - ")</f>
        <v>1230</v>
      </c>
      <c r="AF12" s="232" t="str">
        <f>IF(ISNUMBER(Datos!BV12),Datos!BV12," - ")</f>
        <v xml:space="preserve"> - </v>
      </c>
      <c r="AG12" s="228" t="str">
        <f>IF(ISNUMBER(Datos!DV12),Datos!DV12," - ")</f>
        <v xml:space="preserve"> - </v>
      </c>
      <c r="AH12" s="301"/>
      <c r="AI12" s="230"/>
      <c r="AJ12" s="228">
        <f>IF(ISNUMBER(Datos!M12),Datos!M12," - ")</f>
        <v>316</v>
      </c>
      <c r="AK12" s="232">
        <f>IF(ISNUMBER(Datos!N12),Datos!N12," - ")</f>
        <v>285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19.915103652517274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-6.5349544072948323E-2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374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456</v>
      </c>
      <c r="AA13" s="903">
        <f t="shared" si="2"/>
        <v>5</v>
      </c>
      <c r="AB13" s="903">
        <f t="shared" si="2"/>
        <v>0</v>
      </c>
      <c r="AC13" s="903">
        <f t="shared" si="2"/>
        <v>0</v>
      </c>
      <c r="AD13" s="903">
        <f t="shared" si="2"/>
        <v>0</v>
      </c>
      <c r="AE13" s="903">
        <f t="shared" si="2"/>
        <v>1237</v>
      </c>
      <c r="AF13" s="911">
        <f t="shared" si="2"/>
        <v>0</v>
      </c>
      <c r="AG13" s="911">
        <f t="shared" si="2"/>
        <v>0</v>
      </c>
      <c r="AH13" s="911">
        <f t="shared" si="2"/>
        <v>0</v>
      </c>
      <c r="AI13" s="911">
        <f t="shared" si="2"/>
        <v>0</v>
      </c>
      <c r="AJ13" s="911">
        <f t="shared" si="2"/>
        <v>316</v>
      </c>
      <c r="AK13" s="911">
        <f t="shared" si="2"/>
        <v>285</v>
      </c>
      <c r="AL13" s="911">
        <f t="shared" si="2"/>
        <v>0</v>
      </c>
      <c r="AM13" s="911">
        <f t="shared" si="2"/>
        <v>0</v>
      </c>
      <c r="AN13" s="911">
        <f t="shared" si="2"/>
        <v>0</v>
      </c>
      <c r="AO13" s="907">
        <f>IF(ISNUMBER(((NºAsuntos!I13/NºAsuntos!G13)*11)/factor_trimestre),((NºAsuntos!I13/NºAsuntos!G13)*11)/factor_trimestre," - ")</f>
        <v>19.89085545722714</v>
      </c>
      <c r="AP13" s="913" t="str">
        <f>IF(ISNUMBER(Datos!CI13/Datos!CJ13),Datos!CI13/Datos!CJ13," - ")</f>
        <v xml:space="preserve"> - </v>
      </c>
      <c r="AQ13" s="931">
        <f t="shared" ref="AQ13:AV13" si="3">SUBTOTAL(9,AQ9:AQ12)</f>
        <v>0</v>
      </c>
      <c r="AR13" s="931">
        <f t="shared" si="3"/>
        <v>1.2679837892603849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428</v>
      </c>
      <c r="G16" s="228">
        <f>IF(ISNUMBER(IF(D_I="SI",Datos!I16,Datos!I16+Datos!AC16)),IF(D_I="SI",Datos!I16,Datos!I16+Datos!AC16)," - ")</f>
        <v>428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2184</v>
      </c>
      <c r="Z16" s="622">
        <f>IF(ISNUMBER(Datos!Q16),Datos!Q16," - ")</f>
        <v>79</v>
      </c>
      <c r="AA16" s="335">
        <f>IF(ISNUMBER(IF(D_I="SI",Datos!L16,Datos!L16+Datos!AF16)),IF(D_I="SI",Datos!L16,Datos!L16+Datos!AF16)," - ")</f>
        <v>629</v>
      </c>
      <c r="AB16" s="337"/>
      <c r="AC16" s="337"/>
      <c r="AD16" s="487"/>
      <c r="AE16" s="487">
        <f>IF(ISNUMBER(Datos!R16),Datos!R16," - ")</f>
        <v>75</v>
      </c>
      <c r="AF16" s="232" t="str">
        <f>IF(ISNUMBER(Datos!BV16),Datos!BV16," - ")</f>
        <v xml:space="preserve"> - </v>
      </c>
      <c r="AG16" s="228"/>
      <c r="AH16" s="301"/>
      <c r="AI16" s="230"/>
      <c r="AJ16" s="228">
        <f>IF(ISNUMBER(Datos!M16),Datos!M16," - ")</f>
        <v>246</v>
      </c>
      <c r="AK16" s="232">
        <f>IF(ISNUMBER(Datos!N16),Datos!N16," - ")</f>
        <v>1451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3.1680402930402929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415</v>
      </c>
      <c r="Z17" s="622">
        <f>IF(ISNUMBER(Datos!Q17),Datos!Q17," - ")</f>
        <v>0</v>
      </c>
      <c r="AA17" s="335">
        <f>IF(ISNUMBER(Datos!L17),Datos!L17,"-")</f>
        <v>122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58</v>
      </c>
      <c r="AK17" s="232">
        <f>IF(ISNUMBER(Datos!N17),Datos!N17," - ")</f>
        <v>309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3.2337349397590365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428</v>
      </c>
      <c r="G18" s="901">
        <f>SUBTOTAL(9,G15:G17)</f>
        <v>506</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2599</v>
      </c>
      <c r="Z18" s="935">
        <f t="shared" si="5"/>
        <v>79</v>
      </c>
      <c r="AA18" s="935">
        <f t="shared" si="5"/>
        <v>751</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304</v>
      </c>
      <c r="AK18" s="935">
        <f t="shared" si="5"/>
        <v>1760</v>
      </c>
      <c r="AL18" s="935">
        <f t="shared" si="5"/>
        <v>0</v>
      </c>
      <c r="AM18" s="935">
        <f t="shared" si="5"/>
        <v>0</v>
      </c>
      <c r="AN18" s="935">
        <f t="shared" si="5"/>
        <v>0</v>
      </c>
      <c r="AO18" s="937">
        <f>IF(ISNUMBER(((NºAsuntos!I18/NºAsuntos!G18)*11)/factor_trimestre),((NºAsuntos!I18/NºAsuntos!G18)*11)/factor_trimestre," - ")</f>
        <v>3.1785302039245864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428</v>
      </c>
      <c r="G19" s="823">
        <f t="shared" si="7"/>
        <v>506</v>
      </c>
      <c r="H19" s="824">
        <f t="shared" si="7"/>
        <v>0</v>
      </c>
      <c r="I19" s="823">
        <f t="shared" si="7"/>
        <v>0</v>
      </c>
      <c r="J19" s="825">
        <f t="shared" si="7"/>
        <v>0</v>
      </c>
      <c r="K19" s="823">
        <f t="shared" si="7"/>
        <v>0</v>
      </c>
      <c r="L19" s="826">
        <f t="shared" si="7"/>
        <v>0</v>
      </c>
      <c r="M19" s="823">
        <f t="shared" si="7"/>
        <v>0</v>
      </c>
      <c r="N19" s="824">
        <f t="shared" si="7"/>
        <v>450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2603</v>
      </c>
      <c r="Z19" s="830">
        <f t="shared" si="8"/>
        <v>535</v>
      </c>
      <c r="AA19" s="831">
        <f t="shared" si="8"/>
        <v>756</v>
      </c>
      <c r="AB19" s="831">
        <f t="shared" si="8"/>
        <v>0</v>
      </c>
      <c r="AC19" s="831">
        <f t="shared" si="8"/>
        <v>0</v>
      </c>
      <c r="AD19" s="832">
        <f t="shared" si="8"/>
        <v>0</v>
      </c>
      <c r="AE19" s="832">
        <f t="shared" si="8"/>
        <v>1312</v>
      </c>
      <c r="AF19" s="833">
        <f t="shared" si="8"/>
        <v>0</v>
      </c>
      <c r="AG19" s="834">
        <f t="shared" si="8"/>
        <v>0</v>
      </c>
      <c r="AH19" s="835">
        <f t="shared" si="8"/>
        <v>0</v>
      </c>
      <c r="AI19" s="833">
        <f t="shared" si="8"/>
        <v>0</v>
      </c>
      <c r="AJ19" s="823">
        <f t="shared" si="8"/>
        <v>620</v>
      </c>
      <c r="AK19" s="823">
        <f t="shared" si="8"/>
        <v>2045</v>
      </c>
      <c r="AL19" s="823">
        <f t="shared" si="8"/>
        <v>0</v>
      </c>
      <c r="AM19" s="836">
        <f t="shared" si="8"/>
        <v>0</v>
      </c>
      <c r="AN19" s="826">
        <f>IF(ISNUMBER(Datos!K19/Datos!J19),Datos!K19/Datos!J19," - ")</f>
        <v>0.76681710724263918</v>
      </c>
      <c r="AO19" s="826">
        <f>IF(ISNUMBER(FIND("06",Criterios!A8,1)),(IF(ISNUMBER(((Datos!R19/Datos!Q19)*11)/factor_trimestre),((Datos!R19/Datos!Q19)*11)/factor_trimestre," - ")),(IF(ISNUMBER(((Datos!L19/Datos!K19)*11)/factor_trimestre),((Datos!L19/Datos!K19)*11)/factor_trimestre," - ")))</f>
        <v>7.8122197309417043</v>
      </c>
      <c r="AP19" s="837" t="str">
        <f>IF(ISNUMBER(Datos!CI19/Datos!CJ19),Datos!CI19/Datos!CJ19," - ")</f>
        <v xml:space="preserve"> - </v>
      </c>
      <c r="AQ19" s="837">
        <f>IF(OR(ISNUMBER(FIND("01",Criterios!A8,1)),ISNUMBER(FIND("02",Criterios!A8,1)),ISNUMBER(FIND("03",Criterios!A8,1)),ISNUMBER(FIND("04",Criterios!A8,1))),(J19-Y19+K19)/(F19-K19),(I19-Y19+K19)/(F19-K19))</f>
        <v>-6.0817757009345792</v>
      </c>
      <c r="AR19" s="837">
        <f>IF(ISNUMBER((Datos!P19-Datos!Q19+O19)/(Datos!R19-Datos!P19+Datos!Q19-O19)),(Datos!P19-Datos!Q19+O19)/(Datos!R19-Datos!P19+Datos!Q19-O19)," - ")</f>
        <v>-6.084466714387974E-2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247.10591521315982</v>
      </c>
      <c r="G21" s="555">
        <f>IF(ISNUMBER(STDEV(G8:G18)),STDEV(G8:G18),"-")</f>
        <v>245.19135384429853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141.2383328514843</v>
      </c>
      <c r="AK21" s="255"/>
      <c r="AL21" s="255">
        <f>IF(ISNUMBER(STDEV(AL8:AL18)),STDEV(AL8:AL18),"-")</f>
        <v>0</v>
      </c>
      <c r="AM21" s="257">
        <f>IF(ISNUMBER(STDEV(AM8:AM18)),STDEV(AM8:AM18),"-")</f>
        <v>0</v>
      </c>
      <c r="AN21" s="542">
        <f>IF(ISNUMBER(STDEV(AN8:AN18)),STDEV(AN8:AN18),"-")</f>
        <v>0</v>
      </c>
      <c r="AO21" s="543">
        <f>IF(ISNUMBER(STDEV(AO8:AO18)),STDEV(AO8:AO18),"-")</f>
        <v>8.3372886405602724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oJdf6+qqHE9HGYqNnRixiDQugBdwFK8SkHCtWzvIigIQqkS1t529ClH+Ic1QleTkActHpKjHXPNCd6YCn9LMA==" saltValue="DQTeVkp0Z8BSK2mS4T/E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ipgVSPESohP3zsBaOGQlvl5k8w5QRz2PqbZLvwlPZwos6qaDjuvFekh/mcZUqOMJyPMVUy1dgi0aAz+mU9kZw==" saltValue="hLoAAc0gw+8V4gjZJusH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3XMefyn0hY+muBR/+EVj5bs6VcF6qNzYgVd3vZDLRLERlXPT4lUcbdETcrp321I25ogwJArgJuntgB8Za9woA==" saltValue="bCCvhug5VYWXPZr4L2SZ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MARTOS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0.31071779744346117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0.21971066160761948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VAqHD5HEpVbSXpooaO5/rifjEc96WneErHoIFAQAXTdZfgPFBXDc7vjW2vLSwSTmDRc4JQO6SKBSxS5IkrIXA==" saltValue="1FitXB39Ek0oVwAmQqtD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akvaGQJ3RDs7V61LDkqi+YY35D0kLjiSxH3lILp4qnYXjZFM0WEukThAq+Bfs8AbfPXv4Jg3NrkV08+j+OWTw==" saltValue="IG5GdtlAW8sXKN2o2F2r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MARTOS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9</v>
      </c>
      <c r="F10" s="407">
        <f>IF(ISNUMBER(E10/B10),E10/B10," - ")</f>
        <v>9</v>
      </c>
      <c r="G10" s="406">
        <f>IF(ISNUMBER(Datos!K10),Datos!K10," - ")</f>
        <v>4</v>
      </c>
      <c r="H10" s="407">
        <f>IF(ISNUMBER(G10/B10),G10/B10," - ")</f>
        <v>4</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973</v>
      </c>
      <c r="D12" s="407">
        <f>IF(ISNUMBER(C12/Datos!BH12),C12/Datos!BH12," - ")</f>
        <v>486.5</v>
      </c>
      <c r="E12" s="406">
        <f>IF(ISNUMBER(IF(J_V="SI",Datos!J12,Datos!J12+Datos!Z12)),IF(J_V="SI",Datos!J12,Datos!J12+Datos!Z12)," - ")</f>
        <v>1872</v>
      </c>
      <c r="F12" s="407">
        <f>IF(ISNUMBER(E12/B12),E12/B12," - ")</f>
        <v>936</v>
      </c>
      <c r="G12" s="406">
        <f>IF(ISNUMBER(IF(J_V="SI",Datos!K12,Datos!K12+Datos!AA12)),IF(J_V="SI",Datos!K12,Datos!K12+Datos!AA12)," - ")</f>
        <v>1013</v>
      </c>
      <c r="H12" s="407">
        <f>IF(ISNUMBER(G12/B12),G12/B12," - ")</f>
        <v>506.5</v>
      </c>
      <c r="I12" s="406">
        <f>IF(ISNUMBER(IF(J_V="SI",Datos!L12,Datos!L12+Datos!AB12)),IF(J_V="SI",Datos!L12,Datos!L12+Datos!AB12)," - ")</f>
        <v>1834</v>
      </c>
      <c r="J12" s="407">
        <f>IF(ISNUMBER(I12/B12),I12/B12," - ")</f>
        <v>917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973</v>
      </c>
      <c r="D13" s="853" t="str">
        <f>IF(ISNUMBER(C13/Datos!BI13),C13/Datos!BI13," - ")</f>
        <v xml:space="preserve"> - </v>
      </c>
      <c r="E13" s="852">
        <f>SUBTOTAL(9,E8:E12)</f>
        <v>1881</v>
      </c>
      <c r="F13" s="853">
        <f>IF(ISNUMBER(E13/B13),E13/B13," - ")</f>
        <v>940.5</v>
      </c>
      <c r="G13" s="852">
        <f>SUBTOTAL(9,G8:G12)</f>
        <v>1017</v>
      </c>
      <c r="H13" s="853">
        <f>IF(ISNUMBER(G13/B13),G13/B13," - ")</f>
        <v>508.5</v>
      </c>
      <c r="I13" s="852">
        <f>SUBTOTAL(9,I8:I12)</f>
        <v>1839</v>
      </c>
      <c r="J13" s="853">
        <f>IF(ISNUMBER(I13/B13),I13/B13," - ")</f>
        <v>919.5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428</v>
      </c>
      <c r="D16" s="407">
        <f>IF(ISNUMBER(C16/Datos!BH16),C16/Datos!BH16," - ")</f>
        <v>214</v>
      </c>
      <c r="E16" s="406">
        <f>IF(ISNUMBER(IF(D_I="SI",Datos!J16,Datos!J16+Datos!AD16)),IF(D_I="SI",Datos!J16,Datos!J16+Datos!AD16)," - ")</f>
        <v>2385</v>
      </c>
      <c r="F16" s="407">
        <f>IF(ISNUMBER(E16/B16),E16/B16," - ")</f>
        <v>1192.5</v>
      </c>
      <c r="G16" s="406">
        <f>IF(ISNUMBER(IF(D_I="SI",Datos!K16,Datos!K16+Datos!AE16)),IF(D_I="SI",Datos!K16,Datos!K16+Datos!AE16)," - ")</f>
        <v>2184</v>
      </c>
      <c r="H16" s="407">
        <f>IF(ISNUMBER(G16/B16),G16/B16," - ")</f>
        <v>1092</v>
      </c>
      <c r="I16" s="406">
        <f>IF(ISNUMBER(IF(D_I="SI",Datos!L16,Datos!L16+Datos!AF16)),IF(D_I="SI",Datos!L16,Datos!L16+Datos!AF16)," - ")</f>
        <v>629</v>
      </c>
      <c r="J16" s="407">
        <f>IF(ISNUMBER(I16/B16),I16/B16," - ")</f>
        <v>314.5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78</v>
      </c>
      <c r="D17" s="407">
        <f>IF(ISNUMBER(C17/Datos!BH17),C17/Datos!BH17," - ")</f>
        <v>78</v>
      </c>
      <c r="E17" s="406">
        <f>IF(ISNUMBER(IF(D_I="SI",Datos!J17,Datos!J17+Datos!AD17)),IF(D_I="SI",Datos!J17,Datos!J17+Datos!AD17)," - ")</f>
        <v>459</v>
      </c>
      <c r="F17" s="407">
        <f>IF(ISNUMBER(E17/B17),E17/B17," - ")</f>
        <v>459</v>
      </c>
      <c r="G17" s="406">
        <f>IF(ISNUMBER(IF(D_I="SI",Datos!K17,Datos!K17+Datos!AE17)),IF(D_I="SI",Datos!K17,Datos!K17+Datos!AE17)," - ")</f>
        <v>415</v>
      </c>
      <c r="H17" s="407">
        <f>IF(ISNUMBER(G17/B17),G17/B17," - ")</f>
        <v>415</v>
      </c>
      <c r="I17" s="406">
        <f>IF(ISNUMBER(IF(D_I="SI",Datos!L17,Datos!L17+Datos!AF17)),IF(D_I="SI",Datos!L17,Datos!L17+Datos!AF17)," - ")</f>
        <v>122</v>
      </c>
      <c r="J17" s="407">
        <f>IF(ISNUMBER(I17/B17),I17/B17," - ")</f>
        <v>122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506</v>
      </c>
      <c r="D18" s="853" t="str">
        <f>IF(ISNUMBER(C18/Datos!BI18),C18/Datos!BI18," - ")</f>
        <v xml:space="preserve"> - </v>
      </c>
      <c r="E18" s="852">
        <f>SUBTOTAL(9,E14:E17)</f>
        <v>2844</v>
      </c>
      <c r="F18" s="853">
        <f>IF(ISNUMBER(E18/B18),E18/B18," - ")</f>
        <v>1422</v>
      </c>
      <c r="G18" s="852">
        <f>SUBTOTAL(9,G14:G17)</f>
        <v>2599</v>
      </c>
      <c r="H18" s="853">
        <f>IF(ISNUMBER(G18/B18),G18/B18," - ")</f>
        <v>1299.5</v>
      </c>
      <c r="I18" s="852">
        <f>SUBTOTAL(9,I14:I17)</f>
        <v>751</v>
      </c>
      <c r="J18" s="853">
        <f>IF(ISNUMBER(I18/B18),I18/B18," - ")</f>
        <v>375.5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1479</v>
      </c>
      <c r="D19" s="798" t="str">
        <f>IF(ISNUMBER(C19/Datos!BI19),C19/Datos!BI19," - ")</f>
        <v xml:space="preserve"> - </v>
      </c>
      <c r="E19" s="797">
        <f>SUBTOTAL(9,E9:E18)</f>
        <v>4725</v>
      </c>
      <c r="F19" s="798">
        <f>IF(ISNUMBER(E19/B19),E19/B19," - ")</f>
        <v>2362.5</v>
      </c>
      <c r="G19" s="797">
        <f>SUBTOTAL(9,G9:G18)</f>
        <v>3616</v>
      </c>
      <c r="H19" s="798">
        <f>IF(ISNUMBER(G19/B19),G19/B19," - ")</f>
        <v>1808</v>
      </c>
      <c r="I19" s="797">
        <f>SUBTOTAL(9,I9:I18)</f>
        <v>2590</v>
      </c>
      <c r="J19" s="798">
        <f>IF(ISNUMBER(I19/B19),I19/B19," - ")</f>
        <v>1295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1zSU1hvtUTvotRFgfLWGMO14mIthgXfZrFRvFVEjn9iqFm2hd9eqmBHZprslO76vIOLYlV5LMe7LFN75IDa7w==" saltValue="YMvjNx1tWYun5N/J6B+v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MARTOS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316</v>
      </c>
      <c r="AM12" s="693">
        <f>IF(ISNUMBER(Datos!N12+DatosP!N16),Datos!N12+DatosP!N16," - ")</f>
        <v>285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19.915103652517274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-6.5349544072948323E-2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374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456</v>
      </c>
      <c r="AE13" s="942">
        <f t="shared" si="1"/>
        <v>0</v>
      </c>
      <c r="AF13" s="942">
        <f t="shared" si="1"/>
        <v>5</v>
      </c>
      <c r="AG13" s="942">
        <f t="shared" si="1"/>
        <v>0</v>
      </c>
      <c r="AH13" s="942">
        <f t="shared" si="1"/>
        <v>1230</v>
      </c>
      <c r="AI13" s="942">
        <f t="shared" si="1"/>
        <v>0</v>
      </c>
      <c r="AJ13" s="942">
        <f t="shared" si="1"/>
        <v>0</v>
      </c>
      <c r="AK13" s="942">
        <f t="shared" si="1"/>
        <v>0</v>
      </c>
      <c r="AL13" s="942">
        <f t="shared" si="1"/>
        <v>316</v>
      </c>
      <c r="AM13" s="942">
        <f t="shared" si="1"/>
        <v>285</v>
      </c>
      <c r="AN13" s="942">
        <f t="shared" si="1"/>
        <v>0</v>
      </c>
      <c r="AO13" s="942">
        <f t="shared" si="1"/>
        <v>0</v>
      </c>
      <c r="AP13" s="947">
        <f>IF(ISNUMBER(((Datos!L13/Datos!K13)*11)/factor_trimestre),((Datos!L13/Datos!K13)*11)/factor_trimestre," - ")</f>
        <v>20.240454076367389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-6.5349544072948323E-2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3.1785302039245864</v>
      </c>
      <c r="AQ18" s="947">
        <f>IF(ISNUMBER(((Datos!M18/Datos!L18)*11)/factor_trimestre),((Datos!M18/Datos!L18)*11)/factor_trimestre," - ")</f>
        <v>4.452729693741678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-3.8461538461538464E-2</v>
      </c>
      <c r="AW18" s="949">
        <f>IF(ISNUMBER((Datos!Q18-Datos!R18)/(Datos!S18-Datos!Q18+Datos!R18)),(Datos!Q18-Datos!R18)/(Datos!S18-Datos!Q18+Datos!R18)," - ")</f>
        <v>9.7323600973236012E-3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374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456</v>
      </c>
      <c r="AE19" s="960">
        <f t="shared" si="5"/>
        <v>0</v>
      </c>
      <c r="AF19" s="961">
        <f t="shared" si="5"/>
        <v>5</v>
      </c>
      <c r="AG19" s="961">
        <f t="shared" si="5"/>
        <v>0</v>
      </c>
      <c r="AH19" s="961">
        <f t="shared" si="5"/>
        <v>1230</v>
      </c>
      <c r="AI19" s="961">
        <f t="shared" si="5"/>
        <v>0</v>
      </c>
      <c r="AJ19" s="962">
        <f t="shared" si="5"/>
        <v>0</v>
      </c>
      <c r="AK19" s="962">
        <f t="shared" si="5"/>
        <v>0</v>
      </c>
      <c r="AL19" s="954">
        <f t="shared" si="5"/>
        <v>316</v>
      </c>
      <c r="AM19" s="954">
        <f t="shared" si="5"/>
        <v>285</v>
      </c>
      <c r="AN19" s="954">
        <f t="shared" si="5"/>
        <v>0</v>
      </c>
      <c r="AO19" s="954">
        <f t="shared" si="5"/>
        <v>0</v>
      </c>
      <c r="AP19" s="954">
        <f>IF(ISNUMBER(((Datos!L19/Datos!K19)*11)/factor_trimestre),((Datos!L19/Datos!K19)*11)/factor_trimestre," - ")</f>
        <v>7.8122197309417043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-6.084466714387974E-2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182.44268506392174</v>
      </c>
      <c r="AM21" s="739"/>
      <c r="AN21" s="739">
        <f>IF(ISNUMBER(STDEV(AN8:AN18)),STDEV(AN8:AN18),"-")</f>
        <v>0</v>
      </c>
      <c r="AO21" s="745">
        <f>IF(ISNUMBER(STDEV(AO8:AO18)),STDEV(AO8:AO18),"-")</f>
        <v>0</v>
      </c>
      <c r="AP21" s="782">
        <f>IF(ISNUMBER(STDEV(AP8:AP18)),STDEV(AP8:AP18),"-")</f>
        <v>7.975057265941321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r9+s3l7PzUYOrQoSTCHHitAy+NO1hrhqXoGSuaeYUgeOXvOk+esyE1x3EBRfFjpDfeMnngsXw5nyK4n+fmd2Q==" saltValue="N7oWoevXxzHZ+5akEMXr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MARTOS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uXOMLM7XeZj9Cfg3E+Bq4Z4of9txOgRCsUnEcEwPxMos1aY3bhKTqkPQVKv+Bu7+MJjs1dsqpa0aVVRTGSL3Q==" saltValue="WNad2oH/V4OhvDMg+40k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MARTOS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316</v>
      </c>
      <c r="E12" s="407">
        <f t="shared" si="0"/>
        <v>158</v>
      </c>
      <c r="F12" s="406">
        <f>IF(ISNUMBER(Datos!N12),Datos!N12," - ")</f>
        <v>285</v>
      </c>
      <c r="G12" s="407">
        <f t="shared" si="1"/>
        <v>142.5</v>
      </c>
      <c r="H12" s="406">
        <f>IF(ISNUMBER(Datos!O12),Datos!O12," - ")</f>
        <v>375</v>
      </c>
      <c r="I12" s="407">
        <f t="shared" si="2"/>
        <v>187.5</v>
      </c>
    </row>
    <row r="13" spans="1:9" ht="14.25" thickTop="1" thickBot="1">
      <c r="A13" s="851" t="str">
        <f>Datos!A13</f>
        <v>TOTAL</v>
      </c>
      <c r="B13" s="852">
        <f>Datos!AO13</f>
        <v>3</v>
      </c>
      <c r="C13" s="854">
        <f>Datos!AR13</f>
        <v>2</v>
      </c>
      <c r="D13" s="852">
        <f>SUBTOTAL(9,D9:D12)</f>
        <v>316</v>
      </c>
      <c r="E13" s="853">
        <f t="shared" si="0"/>
        <v>105.33333333333333</v>
      </c>
      <c r="F13" s="852">
        <f>SUBTOTAL(9,F9:F12)</f>
        <v>285</v>
      </c>
      <c r="G13" s="853">
        <f t="shared" si="1"/>
        <v>95</v>
      </c>
      <c r="H13" s="852">
        <f>SUBTOTAL(9,H9:H12)</f>
        <v>375</v>
      </c>
      <c r="I13" s="853">
        <f>IF(ISNUMBER(H13/B13),H13/B13," - ")</f>
        <v>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246</v>
      </c>
      <c r="E16" s="407">
        <f t="shared" si="3"/>
        <v>123</v>
      </c>
      <c r="F16" s="406">
        <f>IF(ISNUMBER(Datos!N16),Datos!N16," - ")</f>
        <v>1451</v>
      </c>
      <c r="G16" s="407">
        <f t="shared" si="4"/>
        <v>725.5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58</v>
      </c>
      <c r="E17" s="407">
        <f>IF(ISNUMBER(D17/B17),D17/B17," - ")</f>
        <v>58</v>
      </c>
      <c r="F17" s="406">
        <f>IF(ISNUMBER(Datos!N17),Datos!N17," - ")</f>
        <v>309</v>
      </c>
      <c r="G17" s="407">
        <f>IF(ISNUMBER(F17/B17),F17/B17," - ")</f>
        <v>309</v>
      </c>
      <c r="H17" s="406">
        <f>IF(ISNUMBER(Datos!O17),Datos!O17," - ")</f>
        <v>0</v>
      </c>
      <c r="I17" s="407">
        <f t="shared" si="5"/>
        <v>0</v>
      </c>
    </row>
    <row r="18" spans="1:9" ht="14.25" thickTop="1" thickBot="1">
      <c r="A18" s="851" t="str">
        <f>Datos!A18</f>
        <v>TOTAL</v>
      </c>
      <c r="B18" s="852">
        <f>Datos!AO18</f>
        <v>3</v>
      </c>
      <c r="C18" s="854">
        <f>Datos!AR18</f>
        <v>2</v>
      </c>
      <c r="D18" s="852">
        <f>SUBTOTAL(9,D15:D17)</f>
        <v>304</v>
      </c>
      <c r="E18" s="853">
        <f t="shared" si="3"/>
        <v>101.33333333333333</v>
      </c>
      <c r="F18" s="852">
        <f>SUBTOTAL(9,F15:F17)</f>
        <v>1760</v>
      </c>
      <c r="G18" s="853">
        <f t="shared" si="4"/>
        <v>586.66666666666663</v>
      </c>
      <c r="H18" s="852">
        <f>SUBTOTAL(9,H15:H17)</f>
        <v>0</v>
      </c>
      <c r="I18" s="853">
        <f>IF(ISNUMBER(H18/B18),H18/B18," - ")</f>
        <v>0</v>
      </c>
    </row>
    <row r="19" spans="1:9" ht="14.25" thickTop="1" thickBot="1">
      <c r="A19" s="796" t="str">
        <f>Datos!A19</f>
        <v>TOTAL JURISDICCIONES</v>
      </c>
      <c r="B19" s="797">
        <f>Datos!AP19</f>
        <v>2</v>
      </c>
      <c r="C19" s="797">
        <f>Datos!AR19</f>
        <v>2</v>
      </c>
      <c r="D19" s="797">
        <f>SUBTOTAL(9,D8:D18)</f>
        <v>620</v>
      </c>
      <c r="E19" s="798">
        <f>IF(ISNUMBER(D19/B19),D19/B19," - ")</f>
        <v>310</v>
      </c>
      <c r="F19" s="797">
        <f>SUBTOTAL(9,F8:F18)</f>
        <v>2045</v>
      </c>
      <c r="G19" s="798">
        <f>IF(ISNUMBER(F19/B19),F19/B19," - ")</f>
        <v>1022.5</v>
      </c>
      <c r="H19" s="797">
        <f>SUBTOTAL(9,H8:H18)</f>
        <v>375</v>
      </c>
      <c r="I19" s="798">
        <f>IF(ISNUMBER(H19/B19),H19/B19," - ")</f>
        <v>187.5</v>
      </c>
    </row>
    <row r="22" spans="1:9">
      <c r="A22" s="394" t="str">
        <f>Criterios!A4</f>
        <v>Fecha Informe: 03 may. 2024</v>
      </c>
    </row>
    <row r="27" spans="1:9">
      <c r="A27" s="417"/>
    </row>
  </sheetData>
  <sheetProtection algorithmName="SHA-512" hashValue="0i/ySGoCFTgFgQpVODE1eTy8vmLQnPLYZmJf1LCXqyI4Om6o3ccH+qTzAwOFjFbzkt3qG7y0NMbyIiCe90KxYw==" saltValue="KBuDbDFBUojFen1wTGYA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MARTOS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370</v>
      </c>
      <c r="C12" s="437">
        <f>IF(ISNUMBER(Datos!Q12),Datos!Q12," - ")</f>
        <v>456</v>
      </c>
      <c r="D12" s="411">
        <f>IF(ISNUMBER(Datos!R12),Datos!R12," - ")</f>
        <v>1230</v>
      </c>
    </row>
    <row r="13" spans="1:4" ht="14.25" thickTop="1" thickBot="1">
      <c r="A13" s="851" t="str">
        <f>Datos!A13</f>
        <v>TOTAL</v>
      </c>
      <c r="B13" s="852">
        <f>SUBTOTAL(9,B9:B12)</f>
        <v>374</v>
      </c>
      <c r="C13" s="856">
        <f>SUBTOTAL(9,C9:C12)</f>
        <v>456</v>
      </c>
      <c r="D13" s="854">
        <f>SUBTOTAL(9,D9:D12)</f>
        <v>1237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76</v>
      </c>
      <c r="C16" s="437">
        <f>IF(ISNUMBER(Datos!Q16),Datos!Q16," - ")</f>
        <v>79</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76</v>
      </c>
      <c r="C18" s="856">
        <f>SUBTOTAL(9,C15:C17)</f>
        <v>79</v>
      </c>
      <c r="D18" s="854">
        <f>SUBTOTAL(9,D15:D17)</f>
        <v>75</v>
      </c>
    </row>
    <row r="19" spans="1:4" ht="16.5" customHeight="1" thickTop="1" thickBot="1">
      <c r="A19" s="796" t="str">
        <f>Datos!A19</f>
        <v>TOTAL JURISDICCIONES</v>
      </c>
      <c r="B19" s="801">
        <f>SUBTOTAL(9,B8:B18)</f>
        <v>450</v>
      </c>
      <c r="C19" s="802">
        <f>SUBTOTAL(9,C8:C18)</f>
        <v>535</v>
      </c>
      <c r="D19" s="803">
        <f>SUBTOTAL(9,D8:D18)</f>
        <v>1312</v>
      </c>
    </row>
    <row r="20" spans="1:4" ht="7.5" customHeight="1"/>
    <row r="21" spans="1:4" ht="6" customHeight="1"/>
    <row r="22" spans="1:4">
      <c r="A22" s="394" t="str">
        <f>Criterios!A4</f>
        <v>Fecha Informe: 03 may. 2024</v>
      </c>
    </row>
    <row r="27" spans="1:4">
      <c r="A27" s="417"/>
    </row>
  </sheetData>
  <sheetProtection algorithmName="SHA-512" hashValue="WexwGjJqJj6Qqei+vG3iWABPuArIqenDE8PWofthi42MWWpNw2/UXDAQASKiLzNmNbX5od6zZF/Jl9mIIUVebw==" saltValue="p9IRxCc9LTOP9jHBRsRA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MARTOS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0.8</v>
      </c>
      <c r="D10" s="459">
        <f>IF(ISNUMBER((Datos!K10-Datos!U10)/Datos!U10),(Datos!K10-Datos!U10)/Datos!U10," - ")</f>
        <v>-0.2</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-0.55555555555555558</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0.34392265193370164</v>
      </c>
      <c r="C12" s="459">
        <f>IF(ISNUMBER(
   IF(J_V="SI",(Datos!J12-Datos!T12)/Datos!T12,(Datos!J12+Datos!Z12-(Datos!T12+Datos!AH12))/(Datos!T12+Datos!AH12))
     ),IF(J_V="SI",(Datos!J12-Datos!T12)/Datos!T12,(Datos!J12+Datos!Z12-(Datos!T12+Datos!AH12))/(Datos!T12+Datos!AH12))," - ")</f>
        <v>0.25133689839572193</v>
      </c>
      <c r="D12" s="459">
        <f>IF(ISNUMBER(
   IF(J_V="SI",(Datos!K12-Datos!U12)/Datos!U12,(Datos!K12+Datos!AA12-(Datos!U12+Datos!AI12))/(Datos!U12+Datos!AI12))
     ),IF(J_V="SI",(Datos!K12-Datos!U12)/Datos!U12,(Datos!K12+Datos!AA12-(Datos!U12+Datos!AI12))/(Datos!U12+Datos!AI12))," - ")</f>
        <v>-0.18765036086607859</v>
      </c>
      <c r="E12" s="459">
        <f>IF(ISNUMBER(
   IF(J_V="SI",(Datos!L12-Datos!V12)/Datos!V12,(Datos!L12+Datos!AB12-(Datos!V12+Datos!AJ12))/(Datos!V12+Datos!AJ12))
     ),IF(J_V="SI",(Datos!L12-Datos!V12)/Datos!V12,(Datos!L12+Datos!AB12-(Datos!V12+Datos!AJ12))/(Datos!V12+Datos!AJ12))," - ")</f>
        <v>0.8848920863309353</v>
      </c>
      <c r="F12" s="459">
        <f>IF(ISNUMBER((Datos!M12-Datos!W12)/Datos!W12),(Datos!M12-Datos!W12)/Datos!W12," - ")</f>
        <v>-8.1395348837209308E-2</v>
      </c>
      <c r="G12" s="460">
        <f>IF(ISNUMBER((Datos!N12-Datos!X12)/Datos!X12),(Datos!N12-Datos!X12)/Datos!X12," - ")</f>
        <v>-0.2654639175257732</v>
      </c>
      <c r="H12" s="458">
        <f>IF(ISNUMBER(((NºAsuntos!G12/NºAsuntos!E12)-Datos!BD12)/Datos!BD12),((NºAsuntos!G12/NºAsuntos!E12)-Datos!BD12)/Datos!BD12," - ")</f>
        <v>-0.35081460462374658</v>
      </c>
      <c r="I12" s="459">
        <f>IF(ISNUMBER(((NºAsuntos!I12/NºAsuntos!G12)-Datos!BE12)/Datos!BE12),((NºAsuntos!I12/NºAsuntos!G12)-Datos!BE12)/Datos!BE12," - ")</f>
        <v>1.3202965761645371</v>
      </c>
      <c r="J12" s="464">
        <f>IF(ISNUMBER((('Resol  Asuntos'!D12/NºAsuntos!G12)-Datos!BF12)/Datos!BF12),(('Resol  Asuntos'!D12/NºAsuntos!G12)-Datos!BF12)/Datos!BF12," - ")</f>
        <v>2.5645983655773795E-3</v>
      </c>
      <c r="K12" s="465">
        <f>IF(ISNUMBER((((NºAsuntos!C12+NºAsuntos!E12)/NºAsuntos!G12)-Datos!BG12)/Datos!BG12),(((NºAsuntos!C12+NºAsuntos!E12)/NºAsuntos!G12)-Datos!BG12)/Datos!BG12," - ")</f>
        <v>0.57756152005905204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0.34392265193370164</v>
      </c>
      <c r="C13" s="858">
        <f>IF(ISNUMBER(
   IF(J_V="SI",(Datos!J13-Datos!T13)/Datos!T13,(Datos!J13+Datos!Z13-(Datos!T13+Datos!AH13))/(Datos!T13+Datos!AH13))
     ),IF(J_V="SI",(Datos!J13-Datos!T13)/Datos!T13,(Datos!J13+Datos!Z13-(Datos!T13+Datos!AH13))/(Datos!T13+Datos!AH13))," - ")</f>
        <v>0.25316455696202533</v>
      </c>
      <c r="D13" s="858">
        <f>IF(ISNUMBER(
   IF(J_V="SI",(Datos!K13-Datos!U13)/Datos!U13,(Datos!K13+Datos!AA13-(Datos!U13+Datos!AI13))/(Datos!U13+Datos!AI13))
     ),IF(J_V="SI",(Datos!K13-Datos!U13)/Datos!U13,(Datos!K13+Datos!AA13-(Datos!U13+Datos!AI13))/(Datos!U13+Datos!AI13))," - ")</f>
        <v>-0.1876996805111821</v>
      </c>
      <c r="E13" s="858">
        <f>IF(ISNUMBER(
   IF(J_V="SI",(Datos!L13-Datos!V13)/Datos!V13,(Datos!L13+Datos!AB13-(Datos!V13+Datos!AJ13))/(Datos!V13+Datos!AJ13))
     ),IF(J_V="SI",(Datos!L13-Datos!V13)/Datos!V13,(Datos!L13+Datos!AB13-(Datos!V13+Datos!AJ13))/(Datos!V13+Datos!AJ13))," - ")</f>
        <v>0.89003083247687564</v>
      </c>
      <c r="F13" s="859">
        <f>IF(ISNUMBER((Datos!M13-Datos!W13)/Datos!W13),(Datos!M13-Datos!W13)/Datos!W13," - ")</f>
        <v>-8.1395348837209308E-2</v>
      </c>
      <c r="G13" s="860">
        <f>IF(ISNUMBER((Datos!N13-Datos!X13)/Datos!X13),(Datos!N13-Datos!X13)/Datos!X13," - ")</f>
        <v>-0.2654639175257732</v>
      </c>
      <c r="H13" s="860">
        <f>IF(ISNUMBER(((NºAsuntos!G13/NºAsuntos!E13)-Datos!BD13)/Datos!BD13),((NºAsuntos!G13/NºAsuntos!E13)-Datos!BD13)/Datos!BD13," - ")</f>
        <v>-0.35180075515538772</v>
      </c>
      <c r="I13" s="860">
        <f>IF(ISNUMBER(((NºAsuntos!I13/NºAsuntos!G13)-Datos!BE13)/Datos!BE13),((NºAsuntos!I13/NºAsuntos!G13)-Datos!BE13)/Datos!BE13," - ")</f>
        <v>1.3267636207089955</v>
      </c>
      <c r="J13" s="860">
        <f>IF(ISNUMBER((('Resol  Asuntos'!D13/NºAsuntos!G13)-Datos!BF13)/Datos!BF13),(('Resol  Asuntos'!D13/NºAsuntos!G13)-Datos!BF13)/Datos!BF13," - ")</f>
        <v>2.6254701010655257E-3</v>
      </c>
      <c r="K13" s="860">
        <f>IF(ISNUMBER((((NºAsuntos!C13+NºAsuntos!E13)/NºAsuntos!G13)-Datos!BG13)/Datos!BG13),(((NºAsuntos!C13+NºAsuntos!E13)/NºAsuntos!G13)-Datos!BG13)/Datos!BG13," - ")</f>
        <v>0.57909162219791632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6.7331670822942641E-2</v>
      </c>
      <c r="C16" s="459">
        <f>IF(ISNUMBER(
   IF(D_I="SI",(Datos!J16-Datos!T16)/Datos!T16,(Datos!J16+Datos!AD16-(Datos!T16+Datos!AL16))/(Datos!T16+Datos!AL16))
     ),IF(D_I="SI",(Datos!J16-Datos!T16)/Datos!T16,(Datos!J16+Datos!AD16-(Datos!T16+Datos!AL16))/(Datos!T16+Datos!AL16))," - ")</f>
        <v>7.967406066093255E-2</v>
      </c>
      <c r="D16" s="459">
        <f>IF(ISNUMBER(
   IF(D_I="SI",(Datos!K16-Datos!U16)/Datos!U16,(Datos!K16+Datos!AE16-(Datos!U16+Datos!AM16))/(Datos!U16+Datos!AM16))
     ),IF(D_I="SI",(Datos!K16-Datos!U16)/Datos!U16,(Datos!K16+Datos!AE16-(Datos!U16+Datos!AM16))/(Datos!U16+Datos!AM16))," - ")</f>
        <v>9.1659028414298811E-4</v>
      </c>
      <c r="E16" s="459">
        <f>IF(ISNUMBER(
   IF(D_I="SI",(Datos!L16-Datos!V16)/Datos!V16,(Datos!L16+Datos!AF16-(Datos!V16+Datos!AN16))/(Datos!V16+Datos!AN16))
     ),IF(D_I="SI",(Datos!L16-Datos!V16)/Datos!V16,(Datos!L16+Datos!AF16-(Datos!V16+Datos!AN16))/(Datos!V16+Datos!AN16))," - ")</f>
        <v>0.46962616822429909</v>
      </c>
      <c r="F16" s="459">
        <f>IF(ISNUMBER((Datos!M16-Datos!W16)/Datos!W16),(Datos!M16-Datos!W16)/Datos!W16," - ")</f>
        <v>0.5</v>
      </c>
      <c r="G16" s="460">
        <f>IF(ISNUMBER((Datos!N16-Datos!X16)/Datos!X16),(Datos!N16-Datos!X16)/Datos!X16," - ")</f>
        <v>-8.3385975994946307E-2</v>
      </c>
      <c r="H16" s="458">
        <f>IF(ISNUMBER(((NºAsuntos!G16/NºAsuntos!E16)-Datos!BD16)/Datos!BD16),((NºAsuntos!G16/NºAsuntos!E16)-Datos!BD16)/Datos!BD16," - ")</f>
        <v>-7.2945598348984522E-2</v>
      </c>
      <c r="I16" s="459">
        <f>IF(ISNUMBER(((NºAsuntos!I16/NºAsuntos!G16)-Datos!BE16)/Datos!BE16),((NºAsuntos!I16/NºAsuntos!G16)-Datos!BE16)/Datos!BE16," - ")</f>
        <v>0.46828035671493606</v>
      </c>
      <c r="J16" s="464">
        <f>IF(ISNUMBER((('Resol  Asuntos'!D16/NºAsuntos!G16)-Datos!BF16)/Datos!BF16),(('Resol  Asuntos'!D16/NºAsuntos!G16)-Datos!BF16)/Datos!BF16," - ")</f>
        <v>0.49862637362637363</v>
      </c>
      <c r="K16" s="465">
        <f>IF(ISNUMBER((((NºAsuntos!C16+NºAsuntos!E16)/NºAsuntos!G16)-Datos!BG16)/Datos!BG16),(((NºAsuntos!C16+NºAsuntos!E16)/NºAsuntos!G16)-Datos!BG16)/Datos!BG16," - ")</f>
        <v>7.6790801790801763E-2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4.5714285714285712</v>
      </c>
      <c r="C17" s="459">
        <f>IF(ISNUMBER(
   IF(D_I="SI",(Datos!J17-Datos!T17)/Datos!T17,(Datos!J17+Datos!AD17-(Datos!T17+Datos!AL17))/(Datos!T17+Datos!AL17))
     ),IF(D_I="SI",(Datos!J17-Datos!T17)/Datos!T17,(Datos!J17+Datos!AD17-(Datos!T17+Datos!AL17))/(Datos!T17+Datos!AL17))," - ")</f>
        <v>0.16202531645569621</v>
      </c>
      <c r="D17" s="459">
        <f>IF(ISNUMBER(
   IF(D_I="SI",(Datos!K17-Datos!U17)/Datos!U17,(Datos!K17+Datos!AE17-(Datos!U17+Datos!AM17))/(Datos!U17+Datos!AM17))
     ),IF(D_I="SI",(Datos!K17-Datos!U17)/Datos!U17,(Datos!K17+Datos!AE17-(Datos!U17+Datos!AM17))/(Datos!U17+Datos!AM17))," - ")</f>
        <v>0.25</v>
      </c>
      <c r="E17" s="459">
        <f>IF(ISNUMBER(
   IF(D_I="SI",(Datos!L17-Datos!V17)/Datos!V17,(Datos!L17+Datos!AF17-(Datos!V17+Datos!AN17))/(Datos!V17+Datos!AN17))
     ),IF(D_I="SI",(Datos!L17-Datos!V17)/Datos!V17,(Datos!L17+Datos!AF17-(Datos!V17+Datos!AN17))/(Datos!V17+Datos!AN17))," - ")</f>
        <v>0.5641025641025641</v>
      </c>
      <c r="F17" s="459">
        <f>IF(ISNUMBER((Datos!M17-Datos!W17)/Datos!W17),(Datos!M17-Datos!W17)/Datos!W17," - ")</f>
        <v>3.5714285714285712E-2</v>
      </c>
      <c r="G17" s="460">
        <f>IF(ISNUMBER((Datos!N17-Datos!X17)/Datos!X17),(Datos!N17-Datos!X17)/Datos!X17," - ")</f>
        <v>8.0419580419580416E-2</v>
      </c>
      <c r="H17" s="458">
        <f>IF(ISNUMBER(((NºAsuntos!G17/NºAsuntos!E17)-Datos!BD17)/Datos!BD17),((NºAsuntos!G17/NºAsuntos!E17)-Datos!BD17)/Datos!BD17," - ")</f>
        <v>7.5708061002178653E-2</v>
      </c>
      <c r="I17" s="459">
        <f>IF(ISNUMBER(((NºAsuntos!I17/NºAsuntos!G17)-Datos!BE17)/Datos!BE17),((NºAsuntos!I17/NºAsuntos!G17)-Datos!BE17)/Datos!BE17," - ")</f>
        <v>0.25128205128205133</v>
      </c>
      <c r="J17" s="464">
        <f>IF(ISNUMBER((('Resol  Asuntos'!D17/NºAsuntos!G17)-Datos!BF17)/Datos!BF17),(('Resol  Asuntos'!D17/NºAsuntos!G17)-Datos!BF17)/Datos!BF17," - ")</f>
        <v>-0.17142857142857129</v>
      </c>
      <c r="K17" s="465">
        <f>IF(ISNUMBER((((NºAsuntos!C17+NºAsuntos!E17)/NºAsuntos!G17)-Datos!BG17)/Datos!BG17),(((NºAsuntos!C17+NºAsuntos!E17)/NºAsuntos!G17)-Datos!BG17)/Datos!BG17," - ")</f>
        <v>5.0366748166259148E-2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0.21927710843373494</v>
      </c>
      <c r="C18" s="858">
        <f>IF(ISNUMBER(
   IF(Criterios!B14="SI",(Datos!J18-Datos!T18)/Datos!T18,(Datos!J18+Datos!AD18-(Datos!T18+Datos!AL18))/(Datos!T18+Datos!AL18))
     ),IF(Criterios!B14="SI",(Datos!J18-Datos!T18)/Datos!T18,(Datos!J18+Datos!AD18-(Datos!T18+Datos!AL18))/(Datos!T18+Datos!AL18))," - ")</f>
        <v>9.2165898617511524E-2</v>
      </c>
      <c r="D18" s="858">
        <f>IF(ISNUMBER(
   IF(Criterios!B14="SI",(Datos!K18-Datos!U18)/Datos!U18,(Datos!K18+Datos!AE18-(Datos!U18+Datos!AM18))/(Datos!U18+Datos!AM18))
     ),IF(Criterios!B14="SI",(Datos!K18-Datos!U18)/Datos!U18,(Datos!K18+Datos!AE18-(Datos!U18+Datos!AM18))/(Datos!U18+Datos!AM18))," - ")</f>
        <v>3.3810660302307081E-2</v>
      </c>
      <c r="E18" s="858">
        <f>IF(ISNUMBER(
   IF(Criterios!B14="SI",(Datos!L18-Datos!V18)/Datos!V18,(Datos!L18+Datos!AF18-(Datos!V18+Datos!AN18))/(Datos!V18+Datos!AN18))
     ),IF(Criterios!B14="SI",(Datos!L18-Datos!V18)/Datos!V18,(Datos!L18+Datos!AF18-(Datos!V18+Datos!AN18))/(Datos!V18+Datos!AN18))," - ")</f>
        <v>0.48418972332015808</v>
      </c>
      <c r="F18" s="859">
        <f>IF(ISNUMBER((Datos!M18-Datos!W18)/Datos!W18),(Datos!M18-Datos!W18)/Datos!W18," - ")</f>
        <v>0.38181818181818183</v>
      </c>
      <c r="G18" s="860">
        <f>IF(ISNUMBER((Datos!N18-Datos!X18)/Datos!X18),(Datos!N18-Datos!X18)/Datos!X18," - ")</f>
        <v>-5.8319957196361689E-2</v>
      </c>
      <c r="H18" s="860">
        <f>IF(ISNUMBER(((NºAsuntos!G18/NºAsuntos!E18)-Datos!BD18)/Datos!BD18),((NºAsuntos!G18/NºAsuntos!E18)-Datos!BD18)/Datos!BD18," - ")</f>
        <v>-5.3430745630377086E-2</v>
      </c>
      <c r="I18" s="860">
        <f>IF(ISNUMBER(((NºAsuntos!I18/NºAsuntos!G18)-Datos!BE18)/Datos!BE18),((NºAsuntos!I18/NºAsuntos!G18)-Datos!BE18)/Datos!BE18," - ")</f>
        <v>0.4356494668822154</v>
      </c>
      <c r="J18" s="860">
        <f>IF(ISNUMBER((('Resol  Asuntos'!D18/NºAsuntos!G18)-Datos!BF18)/Datos!BF18),(('Resol  Asuntos'!D18/NºAsuntos!G18)-Datos!BF18)/Datos!BF18," - ")</f>
        <v>0.33662597502535951</v>
      </c>
      <c r="K18" s="860">
        <f>IF(ISNUMBER((((NºAsuntos!C18+NºAsuntos!E18)/NºAsuntos!G18)-Datos!BG18)/Datos!BG18),(((NºAsuntos!C18+NºAsuntos!E18)/NºAsuntos!G18)-Datos!BG18)/Datos!BG18," - ")</f>
        <v>7.3348337278039438E-2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0.29850746268656714</v>
      </c>
      <c r="C19" s="805">
        <f>IF(ISNUMBER(
   IF(J_V="SI",(Datos!J19-Datos!T19)/Datos!T19,(Datos!J19+Datos!Z19-(Datos!T19+Datos!AH19))/(Datos!T19+Datos!AH19))
     ),IF(J_V="SI",(Datos!J19-Datos!T19)/Datos!T19,(Datos!J19+Datos!Z19-(Datos!T19+Datos!AH19))/(Datos!T19+Datos!AH19))," - ")</f>
        <v>0.15103532277710111</v>
      </c>
      <c r="D19" s="805">
        <f>IF(ISNUMBER(
   IF(J_V="SI",(Datos!K19-Datos!U19)/Datos!U19,(Datos!K19+Datos!AA19-(Datos!U19+Datos!AI19))/(Datos!U19+Datos!AI19))
     ),IF(J_V="SI",(Datos!K19-Datos!U19)/Datos!U19,(Datos!K19+Datos!AA19-(Datos!U19+Datos!AI19))/(Datos!U19+Datos!AI19))," - ")</f>
        <v>-3.9830058417419011E-2</v>
      </c>
      <c r="E19" s="805">
        <f>IF(ISNUMBER(
   IF(J_V="SI",(Datos!L19-Datos!V19)/Datos!V19,(Datos!L19+Datos!AB19-(Datos!V19+Datos!AJ19))/(Datos!V19+Datos!AJ19))
     ),IF(J_V="SI",(Datos!L19-Datos!V19)/Datos!V19,(Datos!L19+Datos!AB19-(Datos!V19+Datos!AJ19))/(Datos!V19+Datos!AJ19))," - ")</f>
        <v>0.75118323191345504</v>
      </c>
      <c r="F19" s="806">
        <f>IF(ISNUMBER((Datos!M19-Datos!W19)/Datos!W19),(Datos!M19-Datos!W19)/Datos!W19," - ")</f>
        <v>9.9290780141843976E-2</v>
      </c>
      <c r="G19" s="807">
        <f>IF(ISNUMBER((Datos!N19-Datos!X19)/Datos!X19),(Datos!N19-Datos!X19)/Datos!X19," - ")</f>
        <v>-9.3929995569339828E-2</v>
      </c>
      <c r="H19" s="808">
        <f>IF(ISNUMBER((Tasas!B19-Datos!BD19)/Datos!BD19),(Tasas!B19-Datos!BD19)/Datos!BD19," - ")</f>
        <v>-0.16582061159862549</v>
      </c>
      <c r="I19" s="809">
        <f>IF(ISNUMBER((Tasas!C19-Datos!BE19)/Datos!BE19),(Tasas!C19-Datos!BE19)/Datos!BE19," - ")</f>
        <v>0.82382634164437829</v>
      </c>
      <c r="J19" s="810">
        <f>IF(ISNUMBER((Tasas!D19-Datos!BF19)/Datos!BF19),(Tasas!D19-Datos!BF19)/Datos!BF19," - ")</f>
        <v>6.2037872612948256E-2</v>
      </c>
      <c r="K19" s="810">
        <f>IF(ISNUMBER((Tasas!E19-Datos!BG19)/Datos!BG19),(Tasas!E19-Datos!BG19)/Datos!BG19," - ")</f>
        <v>0.23214267633300253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hTDJiBo31DtF4mtz6shygaPfNkOsTeltdWYOQOI9gCZQBmcL00eh5eRG6s5ZPgnnyIXeqD4OLXZhD1wSzy+XQ==" saltValue="tNFHZxecq2dFN8rkZVb2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MARTOS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0.44444444444444442</v>
      </c>
      <c r="C10" s="446">
        <f>IF(ISNUMBER(NºAsuntos!I10/NºAsuntos!G10),NºAsuntos!I10/NºAsuntos!G10," - ")</f>
        <v>1.25</v>
      </c>
      <c r="D10" s="447">
        <f>IF(ISNUMBER('Resol  Asuntos'!D10/NºAsuntos!G10),'Resol  Asuntos'!D10/NºAsuntos!G10," - ")</f>
        <v>0</v>
      </c>
      <c r="E10" s="448">
        <f>IF(ISNUMBER((NºAsuntos!C10+NºAsuntos!E10)/NºAsuntos!G10),(NºAsuntos!C10+NºAsuntos!E10)/NºAsuntos!G10," - ")</f>
        <v>2.25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0.5411324786324786</v>
      </c>
      <c r="C12" s="446">
        <f>IF(ISNUMBER(NºAsuntos!I12/NºAsuntos!G12),NºAsuntos!I12/NºAsuntos!G12," - ")</f>
        <v>1.8104639684106614</v>
      </c>
      <c r="D12" s="447">
        <f>IF(ISNUMBER('Resol  Asuntos'!D12/NºAsuntos!G12),'Resol  Asuntos'!D12/NºAsuntos!G12," - ")</f>
        <v>0.3119447186574531</v>
      </c>
      <c r="E12" s="448">
        <f>IF(ISNUMBER((NºAsuntos!C12+NºAsuntos!E12)/NºAsuntos!G12),(NºAsuntos!C12+NºAsuntos!E12)/NºAsuntos!G12," - ")</f>
        <v>2.8084896347482724</v>
      </c>
      <c r="G12" s="466"/>
    </row>
    <row r="13" spans="1:7" ht="14.25" thickTop="1" thickBot="1">
      <c r="A13" s="851" t="str">
        <f>Datos!A13</f>
        <v>TOTAL</v>
      </c>
      <c r="B13" s="861">
        <f>IF(ISNUMBER(NºAsuntos!G13/NºAsuntos!E13),NºAsuntos!G13/NºAsuntos!E13," - ")</f>
        <v>0.54066985645933019</v>
      </c>
      <c r="C13" s="862">
        <f>IF(ISNUMBER(NºAsuntos!I13/NºAsuntos!G13),NºAsuntos!I13/NºAsuntos!G13," - ")</f>
        <v>1.808259587020649</v>
      </c>
      <c r="D13" s="863">
        <f>IF(ISNUMBER('Resol  Asuntos'!D13/NºAsuntos!G13),'Resol  Asuntos'!D13/NºAsuntos!G13," - ")</f>
        <v>0.31071779744346117</v>
      </c>
      <c r="E13" s="864">
        <f>IF(ISNUMBER((NºAsuntos!C13+NºAsuntos!E13)/NºAsuntos!G13),(NºAsuntos!C13+NºAsuntos!E13)/NºAsuntos!G13," - ")</f>
        <v>2.8062930186823993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0.91572327044025159</v>
      </c>
      <c r="C16" s="446">
        <f>IF(ISNUMBER(NºAsuntos!I16/NºAsuntos!G16),NºAsuntos!I16/NºAsuntos!G16," - ")</f>
        <v>0.28800366300366298</v>
      </c>
      <c r="D16" s="447">
        <f>IF(ISNUMBER('Resol  Asuntos'!D16/NºAsuntos!G16),'Resol  Asuntos'!D16/NºAsuntos!G16," - ")</f>
        <v>0.11263736263736264</v>
      </c>
      <c r="E16" s="448">
        <f>IF(ISNUMBER((NºAsuntos!C16+NºAsuntos!E16)/NºAsuntos!G16),(NºAsuntos!C16+NºAsuntos!E16)/NºAsuntos!G16," - ")</f>
        <v>1.2880036630036631</v>
      </c>
      <c r="G16" s="466"/>
    </row>
    <row r="17" spans="1:7" ht="13.5" thickBot="1">
      <c r="A17" s="405" t="str">
        <f>Datos!A17</f>
        <v>Jdos. Violencia contra la mujer</v>
      </c>
      <c r="B17" s="445">
        <f>IF(ISNUMBER(NºAsuntos!G17/NºAsuntos!E17),NºAsuntos!G17/NºAsuntos!E17," - ")</f>
        <v>0.9041394335511983</v>
      </c>
      <c r="C17" s="446">
        <f>IF(ISNUMBER(NºAsuntos!I17/NºAsuntos!G17),NºAsuntos!I17/NºAsuntos!G17," - ")</f>
        <v>0.29397590361445786</v>
      </c>
      <c r="D17" s="447">
        <f>IF(ISNUMBER('Resol  Asuntos'!D17/NºAsuntos!G17),'Resol  Asuntos'!D17/NºAsuntos!G17," - ")</f>
        <v>0.13975903614457832</v>
      </c>
      <c r="E17" s="448">
        <f>IF(ISNUMBER((NºAsuntos!C17+NºAsuntos!E17)/NºAsuntos!G17),(NºAsuntos!C17+NºAsuntos!E17)/NºAsuntos!G17," - ")</f>
        <v>1.2939759036144578</v>
      </c>
      <c r="G17" s="466"/>
    </row>
    <row r="18" spans="1:7" ht="14.25" thickTop="1" thickBot="1">
      <c r="A18" s="851" t="str">
        <f>Datos!A18</f>
        <v>TOTAL</v>
      </c>
      <c r="B18" s="861">
        <f>IF(ISNUMBER(NºAsuntos!G18/NºAsuntos!E18),NºAsuntos!G18/NºAsuntos!E18," - ")</f>
        <v>0.91385372714486635</v>
      </c>
      <c r="C18" s="862">
        <f>IF(ISNUMBER(NºAsuntos!I18/NºAsuntos!G18),NºAsuntos!I18/NºAsuntos!G18," - ")</f>
        <v>0.2889572912658715</v>
      </c>
      <c r="D18" s="865">
        <f>IF(ISNUMBER('Resol  Asuntos'!D18/NºAsuntos!G18),'Resol  Asuntos'!D18/NºAsuntos!G18," - ")</f>
        <v>0.11696806464024626</v>
      </c>
      <c r="E18" s="864">
        <f>IF(ISNUMBER((NºAsuntos!C18+NºAsuntos!E18)/NºAsuntos!G18),(NºAsuntos!C18+NºAsuntos!E18)/NºAsuntos!G18," - ")</f>
        <v>1.2889572912658716</v>
      </c>
      <c r="G18" s="466"/>
    </row>
    <row r="19" spans="1:7" ht="15.75" customHeight="1" thickTop="1" thickBot="1">
      <c r="A19" s="796" t="str">
        <f>Datos!A19</f>
        <v>TOTAL JURISDICCIONES</v>
      </c>
      <c r="B19" s="811">
        <f>IF(ISNUMBER(NºAsuntos!G19/NºAsuntos!E19),NºAsuntos!G19/NºAsuntos!E19," - ")</f>
        <v>0.76529100529100524</v>
      </c>
      <c r="C19" s="812">
        <f>IF(ISNUMBER(NºAsuntos!I19/NºAsuntos!G19),NºAsuntos!I19/NºAsuntos!G19," - ")</f>
        <v>0.71626106194690264</v>
      </c>
      <c r="D19" s="813">
        <f>IF(ISNUMBER('Resol  Asuntos'!D19/NºAsuntos!G19),'Resol  Asuntos'!D19/NºAsuntos!G19," - ")</f>
        <v>0.17146017699115043</v>
      </c>
      <c r="E19" s="814">
        <f>IF(ISNUMBER((NºAsuntos!C19+NºAsuntos!E19)/NºAsuntos!G19),(NºAsuntos!C19+NºAsuntos!E19)/NºAsuntos!G19," - ")</f>
        <v>1.7157079646017699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b9jraW1VKj/i0A5JMp0Uqub/aPjbjGLJhQJmMG2t0yfDorHxWD/cNxAvoqQc1s3cNAULcAcln5VUDp7lqbebA==" saltValue="M3QMwhouSYxqklPcsA0h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MARTOS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5</v>
      </c>
      <c r="AB10" s="337">
        <f>IF(ISNUMBER(Datos!R10),Datos!R10," - ")</f>
        <v>7</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0.44444444444444442</v>
      </c>
      <c r="AM10" s="263">
        <f>IF(ISNUMBER(((NºAsuntos!I10/NºAsuntos!G10)*11)/factor_trimestre),((NºAsuntos!I10/NºAsuntos!G10)*11)/factor_trimestre," - ")</f>
        <v>13.75</v>
      </c>
      <c r="AN10" s="247">
        <f>IF(ISNUMBER('Resol  Asuntos'!D10/NºAsuntos!G10),'Resol  Asuntos'!D10/NºAsuntos!G10," - ")</f>
        <v>0</v>
      </c>
      <c r="AO10" s="248">
        <f>IF(ISNUMBER((NºAsuntos!C10+NºAsuntos!E10)/NºAsuntos!G10),(NºAsuntos!C10+NºAsuntos!E10)/NºAsuntos!G10," - ")</f>
        <v>2.25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456</v>
      </c>
      <c r="Y12" s="337">
        <f t="shared" si="0"/>
        <v>456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316</v>
      </c>
      <c r="AJ12" s="232" t="str">
        <f>IF(ISNUMBER(Datos!BW12),Datos!BW12," - ")</f>
        <v xml:space="preserve"> - </v>
      </c>
      <c r="AK12" s="231" t="str">
        <f>IF(ISNUMBER(Datos!BX12),Datos!BX12," - ")</f>
        <v xml:space="preserve"> - </v>
      </c>
      <c r="AL12" s="246">
        <f>IF(ISNUMBER(NºAsuntos!G12/NºAsuntos!E12),NºAsuntos!G12/NºAsuntos!E12," - ")</f>
        <v>0.5411324786324786</v>
      </c>
      <c r="AM12" s="263">
        <f>IF(ISNUMBER(((NºAsuntos!I12/NºAsuntos!G12)*11)/factor_trimestre),((NºAsuntos!I12/NºAsuntos!G12)*11)/factor_trimestre," - ")</f>
        <v>19.915103652517274</v>
      </c>
      <c r="AN12" s="247">
        <f>IF(ISNUMBER('Resol  Asuntos'!D12/NºAsuntos!G12),'Resol  Asuntos'!D12/NºAsuntos!G12," - ")</f>
        <v>0.3119447186574531</v>
      </c>
      <c r="AO12" s="248">
        <f>IF(ISNUMBER((NºAsuntos!C12+NºAsuntos!E12)/NºAsuntos!G12),(NºAsuntos!C12+NºAsuntos!E12)/NºAsuntos!G12," - ")</f>
        <v>2.8084896347482724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374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456</v>
      </c>
      <c r="Y13" s="871">
        <f t="shared" si="4"/>
        <v>460</v>
      </c>
      <c r="Z13" s="871">
        <f t="shared" si="4"/>
        <v>0</v>
      </c>
      <c r="AA13" s="871">
        <f t="shared" si="4"/>
        <v>5</v>
      </c>
      <c r="AB13" s="871">
        <f t="shared" si="4"/>
        <v>1237</v>
      </c>
      <c r="AC13" s="871">
        <f t="shared" si="4"/>
        <v>12</v>
      </c>
      <c r="AD13" s="871">
        <f t="shared" si="4"/>
        <v>0</v>
      </c>
      <c r="AE13" s="875">
        <f t="shared" si="4"/>
        <v>0</v>
      </c>
      <c r="AF13" s="868">
        <f t="shared" si="4"/>
        <v>0</v>
      </c>
      <c r="AG13" s="876">
        <f t="shared" si="4"/>
        <v>0</v>
      </c>
      <c r="AH13" s="873">
        <f t="shared" si="4"/>
        <v>0</v>
      </c>
      <c r="AI13" s="868">
        <f t="shared" si="4"/>
        <v>316</v>
      </c>
      <c r="AJ13" s="870">
        <f t="shared" si="4"/>
        <v>0</v>
      </c>
      <c r="AK13" s="873">
        <f>SUBTOTAL(9,AK9:AK12)</f>
        <v>0</v>
      </c>
      <c r="AL13" s="877">
        <f>IF(ISNUMBER(NºAsuntos!G13/NºAsuntos!E13),NºAsuntos!G13/NºAsuntos!E13," - ")</f>
        <v>0.54066985645933019</v>
      </c>
      <c r="AM13" s="877">
        <f>IF(ISNUMBER(((NºAsuntos!I13/NºAsuntos!G13)*11)/factor_trimestre),((NºAsuntos!I13/NºAsuntos!G13)*11)/factor_trimestre," - ")</f>
        <v>19.89085545722714</v>
      </c>
      <c r="AN13" s="878">
        <f>IF(ISNUMBER('Resol  Asuntos'!D13/NºAsuntos!G13),'Resol  Asuntos'!D13/NºAsuntos!G13," - ")</f>
        <v>0.31071779744346117</v>
      </c>
      <c r="AO13" s="879">
        <f>IF(ISNUMBER((NºAsuntos!C13+NºAsuntos!E13)/NºAsuntos!G13),(NºAsuntos!C13+NºAsuntos!E13)/NºAsuntos!G13," - ")</f>
        <v>2.8062930186823993</v>
      </c>
      <c r="AP13" s="880" t="str">
        <f t="shared" si="2"/>
        <v xml:space="preserve"> - </v>
      </c>
      <c r="AQ13" s="880" t="str">
        <f>IF(ISNUMBER((H13-W13+K13)/(F13)),(H13-W13+K13)/(F13)," - ")</f>
        <v xml:space="preserve"> - </v>
      </c>
      <c r="AR13" s="881">
        <f>IF(ISNUMBER((Datos!P13-Datos!Q13)/(Datos!R13-Datos!P13+Datos!Q13)),(Datos!P13-Datos!Q13)/(Datos!R13-Datos!P13+Datos!Q13)," - ")</f>
        <v>-6.2168309325246397E-2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428</v>
      </c>
      <c r="G16" s="336">
        <f>IF(ISNUMBER(IF(D_I="SI",Datos!I16,Datos!I16+Datos!AC16)),IF(D_I="SI",Datos!I16,Datos!I16+Datos!AC16)," - ")</f>
        <v>428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2184</v>
      </c>
      <c r="X16" s="229">
        <f>IF(ISNUMBER(Datos!Q16),Datos!Q16," - ")</f>
        <v>79</v>
      </c>
      <c r="Y16" s="337">
        <f t="shared" ref="Y16:Y17" si="7">SUM(W16:X16)</f>
        <v>2263</v>
      </c>
      <c r="Z16" s="338" t="str">
        <f>IF(ISNUMBER(Datos!CC16),Datos!CC16," - ")</f>
        <v xml:space="preserve"> - </v>
      </c>
      <c r="AA16" s="335">
        <f>IF(ISNUMBER(IF(D_I="SI",Datos!L16,Datos!L16+Datos!AF16)),IF(D_I="SI",Datos!L16,Datos!L16+Datos!AF16)," - ")</f>
        <v>629</v>
      </c>
      <c r="AB16" s="337">
        <f>IF(ISNUMBER(Datos!R16),Datos!R16," - ")</f>
        <v>75</v>
      </c>
      <c r="AC16" s="337">
        <f t="shared" si="6"/>
        <v>704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246</v>
      </c>
      <c r="AJ16" s="234" t="str">
        <f>IF(ISNUMBER(Datos!BW16),Datos!BW16," - ")</f>
        <v xml:space="preserve"> - </v>
      </c>
      <c r="AK16" s="235" t="str">
        <f>IF(ISNUMBER(Datos!BX16),Datos!BX16," - ")</f>
        <v xml:space="preserve"> - </v>
      </c>
      <c r="AL16" s="246">
        <f>IF(ISNUMBER(NºAsuntos!G16/NºAsuntos!E16),NºAsuntos!G16/NºAsuntos!E16," - ")</f>
        <v>0.91572327044025159</v>
      </c>
      <c r="AM16" s="263">
        <f>IF(ISNUMBER(((NºAsuntos!I16/NºAsuntos!G16)*11)/factor_trimestre),((NºAsuntos!I16/NºAsuntos!G16)*11)/factor_trimestre," - ")</f>
        <v>3.1680402930402929</v>
      </c>
      <c r="AN16" s="247">
        <f>IF(ISNUMBER('Resol  Asuntos'!D16/NºAsuntos!G16),'Resol  Asuntos'!D16/NºAsuntos!G16," - ")</f>
        <v>0.11263736263736264</v>
      </c>
      <c r="AO16" s="248">
        <f>IF(ISNUMBER((NºAsuntos!C16+NºAsuntos!E16)/NºAsuntos!G16),(NºAsuntos!C16+NºAsuntos!E16)/NºAsuntos!G16," - ")</f>
        <v>1.2880036630036631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415</v>
      </c>
      <c r="X17" s="229">
        <f>IF(ISNUMBER(Datos!Q17),Datos!Q17," - ")</f>
        <v>0</v>
      </c>
      <c r="Y17" s="337">
        <f t="shared" si="7"/>
        <v>415</v>
      </c>
      <c r="Z17" s="338" t="str">
        <f>IF(ISNUMBER(Datos!CC17),Datos!CC17," - ")</f>
        <v xml:space="preserve"> - </v>
      </c>
      <c r="AA17" s="335">
        <f>IF(ISNUMBER(Datos!L17),Datos!L17,"-")</f>
        <v>122</v>
      </c>
      <c r="AB17" s="337">
        <f>IF(ISNUMBER(Datos!R17),Datos!R17," - ")</f>
        <v>0</v>
      </c>
      <c r="AC17" s="337">
        <f t="shared" si="6"/>
        <v>122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58</v>
      </c>
      <c r="AJ17" s="234" t="str">
        <f>IF(ISNUMBER(Datos!BW17),Datos!BW17," - ")</f>
        <v xml:space="preserve"> - </v>
      </c>
      <c r="AK17" s="235" t="str">
        <f>IF(ISNUMBER(Datos!BX17),Datos!BX17," - ")</f>
        <v xml:space="preserve"> - </v>
      </c>
      <c r="AL17" s="246">
        <f>IF(ISNUMBER(NºAsuntos!G17/NºAsuntos!E17),NºAsuntos!G17/NºAsuntos!E17," - ")</f>
        <v>0.9041394335511983</v>
      </c>
      <c r="AM17" s="263">
        <f>IF(ISNUMBER(((NºAsuntos!I17/NºAsuntos!G17)*11)/factor_trimestre),((NºAsuntos!I17/NºAsuntos!G17)*11)/factor_trimestre," - ")</f>
        <v>3.2337349397590365</v>
      </c>
      <c r="AN17" s="247">
        <f>IF(ISNUMBER('Resol  Asuntos'!D17/NºAsuntos!G17),'Resol  Asuntos'!D17/NºAsuntos!G17," - ")</f>
        <v>0.13975903614457832</v>
      </c>
      <c r="AO17" s="248">
        <f>IF(ISNUMBER((NºAsuntos!C17+NºAsuntos!E17)/NºAsuntos!G17),(NºAsuntos!C17+NºAsuntos!E17)/NºAsuntos!G17," - ")</f>
        <v>1.2939759036144578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428</v>
      </c>
      <c r="G18" s="869">
        <f>SUBTOTAL(9,G15:G17)</f>
        <v>506</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2599</v>
      </c>
      <c r="X18" s="870">
        <f t="shared" si="11"/>
        <v>79</v>
      </c>
      <c r="Y18" s="871">
        <f t="shared" si="11"/>
        <v>2678</v>
      </c>
      <c r="Z18" s="871">
        <f t="shared" si="11"/>
        <v>0</v>
      </c>
      <c r="AA18" s="871">
        <f t="shared" si="11"/>
        <v>751</v>
      </c>
      <c r="AB18" s="871">
        <f t="shared" si="11"/>
        <v>75</v>
      </c>
      <c r="AC18" s="871">
        <f t="shared" si="11"/>
        <v>826</v>
      </c>
      <c r="AD18" s="871">
        <f t="shared" si="11"/>
        <v>0</v>
      </c>
      <c r="AE18" s="875">
        <f t="shared" si="11"/>
        <v>0</v>
      </c>
      <c r="AF18" s="868">
        <f t="shared" si="11"/>
        <v>0</v>
      </c>
      <c r="AG18" s="876">
        <f t="shared" si="11"/>
        <v>0</v>
      </c>
      <c r="AH18" s="873">
        <f t="shared" si="11"/>
        <v>0</v>
      </c>
      <c r="AI18" s="868">
        <f t="shared" si="11"/>
        <v>304</v>
      </c>
      <c r="AJ18" s="870">
        <f t="shared" si="11"/>
        <v>0</v>
      </c>
      <c r="AK18" s="873">
        <f t="shared" si="11"/>
        <v>0</v>
      </c>
      <c r="AL18" s="877">
        <f>IF(ISNUMBER(NºAsuntos!G18/NºAsuntos!E18),NºAsuntos!G18/NºAsuntos!E18," - ")</f>
        <v>0.91385372714486635</v>
      </c>
      <c r="AM18" s="877">
        <f>IF(ISNUMBER(((NºAsuntos!I18/NºAsuntos!G18)*11)/factor_trimestre),((NºAsuntos!I18/NºAsuntos!G18)*11)/factor_trimestre," - ")</f>
        <v>3.1785302039245864</v>
      </c>
      <c r="AN18" s="878">
        <f>IF(ISNUMBER('Resol  Asuntos'!D18/NºAsuntos!G18),'Resol  Asuntos'!D18/NºAsuntos!G18," - ")</f>
        <v>0.11696806464024626</v>
      </c>
      <c r="AO18" s="879">
        <f>IF(ISNUMBER((NºAsuntos!C18+NºAsuntos!E18)/NºAsuntos!G18),(NºAsuntos!C18+NºAsuntos!E18)/NºAsuntos!G18," - ")</f>
        <v>1.2889572912658716</v>
      </c>
      <c r="AP18" s="880" t="str">
        <f t="shared" si="2"/>
        <v xml:space="preserve"> - </v>
      </c>
      <c r="AQ18" s="880">
        <f>IF(ISNUMBER((H18-W18+K18)/(F18)),(H18-W18+K18)/(F18)," - ")</f>
        <v>-6.0724299065420562</v>
      </c>
      <c r="AR18" s="881">
        <f>IF(ISNUMBER((Datos!P18-Datos!Q18)/(Datos!R18-Datos!P18+Datos!Q18)),(Datos!P18-Datos!Q18)/(Datos!R18-Datos!P18+Datos!Q18)," - ")</f>
        <v>-3.8461538461538464E-2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428</v>
      </c>
      <c r="G19" s="824">
        <f t="shared" si="13"/>
        <v>506</v>
      </c>
      <c r="H19" s="823">
        <f t="shared" si="13"/>
        <v>0</v>
      </c>
      <c r="I19" s="825">
        <f t="shared" si="13"/>
        <v>0</v>
      </c>
      <c r="J19" s="825">
        <f t="shared" si="13"/>
        <v>0</v>
      </c>
      <c r="K19" s="884">
        <f t="shared" si="13"/>
        <v>0</v>
      </c>
      <c r="L19" s="825">
        <f t="shared" si="13"/>
        <v>450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2603</v>
      </c>
      <c r="X19" s="824">
        <f t="shared" si="14"/>
        <v>535</v>
      </c>
      <c r="Y19" s="831">
        <f t="shared" si="14"/>
        <v>3138</v>
      </c>
      <c r="Z19" s="831">
        <f t="shared" si="14"/>
        <v>0</v>
      </c>
      <c r="AA19" s="831">
        <f t="shared" si="14"/>
        <v>756</v>
      </c>
      <c r="AB19" s="831">
        <f t="shared" si="14"/>
        <v>1312</v>
      </c>
      <c r="AC19" s="831">
        <f t="shared" si="14"/>
        <v>838</v>
      </c>
      <c r="AD19" s="831">
        <f t="shared" si="14"/>
        <v>0</v>
      </c>
      <c r="AE19" s="833">
        <f t="shared" si="14"/>
        <v>0</v>
      </c>
      <c r="AF19" s="834">
        <f t="shared" si="14"/>
        <v>0</v>
      </c>
      <c r="AG19" s="835">
        <f t="shared" si="14"/>
        <v>0</v>
      </c>
      <c r="AH19" s="833">
        <f t="shared" si="14"/>
        <v>0</v>
      </c>
      <c r="AI19" s="823">
        <f t="shared" si="14"/>
        <v>620</v>
      </c>
      <c r="AJ19" s="823">
        <f t="shared" si="14"/>
        <v>0</v>
      </c>
      <c r="AK19" s="833">
        <f t="shared" si="14"/>
        <v>0</v>
      </c>
      <c r="AL19" s="887">
        <f>IF(ISNUMBER(NºAsuntos!G19/NºAsuntos!E19),NºAsuntos!G19/NºAsuntos!E19," - ")</f>
        <v>0.76529100529100524</v>
      </c>
      <c r="AM19" s="888">
        <f>IF(ISNUMBER(((NºAsuntos!I19/NºAsuntos!G19)*11)/factor_trimestre),((NºAsuntos!I19/NºAsuntos!G19)*11)/factor_trimestre," - ")</f>
        <v>7.8788716814159292</v>
      </c>
      <c r="AN19" s="888">
        <f>IF(ISNUMBER('Resol  Asuntos'!D19/NºAsuntos!G19),'Resol  Asuntos'!D19/NºAsuntos!G19," - ")</f>
        <v>0.17146017699115043</v>
      </c>
      <c r="AO19" s="889">
        <f>IF(ISNUMBER((NºAsuntos!C19+NºAsuntos!E19)/NºAsuntos!G19),(NºAsuntos!C19+NºAsuntos!E19)/NºAsuntos!G19," - ")</f>
        <v>1.7157079646017699</v>
      </c>
      <c r="AP19" s="890" t="str">
        <f t="shared" si="2"/>
        <v xml:space="preserve"> - </v>
      </c>
      <c r="AQ19" s="891">
        <f>IF(OR(ISNUMBER(FIND("01",Criterios!A8,1)),ISNUMBER(FIND("02",Criterios!A8,1)),ISNUMBER(FIND("03",Criterios!A8,1)),ISNUMBER(FIND("04",Criterios!A8,1))),(I19-W19+K19)/(F19-K19),(H19-W19+K19)/(F19-K19))</f>
        <v>-6.0817757009345792</v>
      </c>
      <c r="AR19" s="892">
        <f>IF(ISNUMBER((Datos!P19-Datos!Q19)/(Datos!R19-Datos!P19+Datos!Q19)),(Datos!P19-Datos!Q19)/(Datos!R19-Datos!P19+Datos!Q19)," - ")</f>
        <v>-6.084466714387974E-2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247.10591521315982</v>
      </c>
      <c r="G21" s="256">
        <f>IF(ISNUMBER(STDEV(G8:G18)),STDEV(G8:G18),"-")</f>
        <v>245.19135384429853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1252.6398923872734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141.2383328514843</v>
      </c>
      <c r="AJ21" s="255">
        <f t="shared" si="18"/>
        <v>0</v>
      </c>
      <c r="AK21" s="257">
        <f t="shared" si="18"/>
        <v>0</v>
      </c>
      <c r="AL21" s="252">
        <f t="shared" si="18"/>
        <v>0.22328332489293676</v>
      </c>
      <c r="AM21" s="253">
        <f t="shared" si="18"/>
        <v>8.3372886405602724</v>
      </c>
      <c r="AN21" s="253">
        <f t="shared" si="18"/>
        <v>0.12307457976453608</v>
      </c>
      <c r="AO21" s="254">
        <f t="shared" si="18"/>
        <v>0.75704871277506747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zzfWwhZEOSShmsJoG1NHUeA0anq0eODTn34g4lhv70hc4jb+ZyUyPwlcRb2cne/NE+mzcAUmafD2Vx7Bx3hUQ==" saltValue="AT4KXeDGs1Z6RyuZ8GMD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MARTOS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0.8</v>
      </c>
      <c r="F10" s="351">
        <f>IF(ISNUMBER((Datos!K10-Datos!U10)/Datos!U10),(Datos!K10-Datos!U10)/Datos!U10," - ")</f>
        <v>-0.2</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f>IF(ISNUMBER((Tasas!E10-Datos!BG10)/Datos!BG10),(Tasas!E10-Datos!BG10)/Datos!BG10," - ")</f>
        <v>1.25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-8.1395348837209308E-2</v>
      </c>
      <c r="I12" s="353">
        <f>IF(ISNUMBER((Tasas!C12-Datos!BE12)/Datos!BE12),(Tasas!C12-Datos!BE12)/Datos!BE12," - ")</f>
        <v>1.3202965761645371</v>
      </c>
      <c r="J12" s="352">
        <f>IF(ISNUMBER((Tasas!D12-Datos!BF12)/Datos!BF12),(Tasas!D12-Datos!BF12)/Datos!BF12," - ")</f>
        <v>2.5645983655773795E-3</v>
      </c>
      <c r="K12" s="354">
        <f>IF(ISNUMBER((Tasas!E12-Datos!BG12)/Datos!BG12),(Tasas!E12-Datos!BG12)/Datos!BG12," - ")</f>
        <v>0.57756152005905204</v>
      </c>
      <c r="M12" t="e">
        <f>IF(Monitorios="SI",Datos!CE12,0)</f>
        <v>#REF!</v>
      </c>
      <c r="N12" t="e">
        <f>IF(Monitorios="SI",Datos!CF12,0)</f>
        <v>#REF!</v>
      </c>
      <c r="O12" t="e">
        <f>IF(Monitorios="SI",Datos!CG12,0)</f>
        <v>#REF!</v>
      </c>
      <c r="P12" t="e">
        <f>IF(Monitorios="SI",Datos!CH12,0)</f>
        <v>#REF!</v>
      </c>
      <c r="Q12">
        <f>IF(J_V="SI",0,Datos!AG12)</f>
        <v>38</v>
      </c>
      <c r="R12">
        <f>IF(J_V="SI",0,Datos!AH12)</f>
        <v>105</v>
      </c>
      <c r="S12">
        <f>IF(J_V="SI",0,Datos!AI12)</f>
        <v>113</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-8.1395348837209308E-2</v>
      </c>
      <c r="I13" s="360">
        <f>IF(ISNUMBER((Tasas!C13-Datos!BE13)/Datos!BE13),(Tasas!C13-Datos!BE13)/Datos!BE13," - ")</f>
        <v>1.3267636207089955</v>
      </c>
      <c r="J13" s="358">
        <f>IF(ISNUMBER((Tasas!D13-Datos!BF13)/Datos!BF13),(Tasas!D13-Datos!BF13)/Datos!BF13," - ")</f>
        <v>2.6254701010655257E-3</v>
      </c>
      <c r="K13" s="361">
        <f>IF(ISNUMBER((Tasas!E13-Datos!BG13)/Datos!BG13),(Tasas!E13-Datos!BG13)/Datos!BG13," - ")</f>
        <v>0.57909162219791632</v>
      </c>
      <c r="M13" t="e">
        <f>IF(Monitorios="SI",Datos!CE13,0)</f>
        <v>#REF!</v>
      </c>
      <c r="N13" t="e">
        <f>IF(Monitorios="SI",Datos!CF13,0)</f>
        <v>#REF!</v>
      </c>
      <c r="O13" t="e">
        <f>IF(Monitorios="SI",Datos!CG13,0)</f>
        <v>#REF!</v>
      </c>
      <c r="P13" t="e">
        <f>IF(Monitorios="SI",Datos!CH13,0)</f>
        <v>#REF!</v>
      </c>
      <c r="Q13">
        <f>IF(J_V="SI",0,Datos!AG13)</f>
        <v>38</v>
      </c>
      <c r="R13">
        <f>IF(J_V="SI",0,Datos!AH13)</f>
        <v>105</v>
      </c>
      <c r="S13">
        <f>IF(J_V="SI",0,Datos!AI13)</f>
        <v>113</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6.7331670822942641E-2</v>
      </c>
      <c r="E16" s="351">
        <f>IF(ISNUMBER(
   IF(D_I="SI",(Datos!J16-Datos!T16)/Datos!T16,(Datos!J16+Datos!AD16-(Datos!T16+Datos!AL16))/(Datos!T16+Datos!AL16))
     ),IF(D_I="SI",(Datos!J16-Datos!T16)/Datos!T16,(Datos!J16+Datos!AD16-(Datos!T16+Datos!AL16))/(Datos!T16+Datos!AL16))," - ")</f>
        <v>7.967406066093255E-2</v>
      </c>
      <c r="F16" s="351">
        <f>IF(ISNUMBER(
   IF(D_I="SI",(Datos!K16-Datos!U16)/Datos!U16,(Datos!K16+Datos!AE16-(Datos!U16+Datos!AM16))/(Datos!U16+Datos!AM16))
     ),IF(D_I="SI",(Datos!K16-Datos!U16)/Datos!U16,(Datos!K16+Datos!AE16-(Datos!U16+Datos!AM16))/(Datos!U16+Datos!AM16))," - ")</f>
        <v>9.1659028414298811E-4</v>
      </c>
      <c r="G16" s="352">
        <f>IF(ISNUMBER(
   IF(D_I="SI",(Datos!L16-Datos!V16)/Datos!V16,(Datos!L16+Datos!AF16-(Datos!V16+Datos!AN16))/(Datos!V16+Datos!AN16))
     ),IF(D_I="SI",(Datos!L16-Datos!V16)/Datos!V16,(Datos!L16+Datos!AF16-(Datos!V16+Datos!AN16))/(Datos!V16+Datos!AN16))," - ")</f>
        <v>0.46962616822429909</v>
      </c>
      <c r="H16" s="233">
        <f>IF(ISNUMBER((Datos!M16-Datos!W16)/Datos!W16),(Datos!M16-Datos!W16)/Datos!W16," - ")</f>
        <v>0.5</v>
      </c>
      <c r="I16" s="353">
        <f>IF(ISNUMBER((Tasas!C16-Datos!BE16)/Datos!BE16),(Tasas!C16-Datos!BE16)/Datos!BE16," - ")</f>
        <v>0.46828035671493606</v>
      </c>
      <c r="J16" s="352">
        <f>IF(ISNUMBER((Tasas!D16-Datos!BF16)/Datos!BF16),(Tasas!D16-Datos!BF16)/Datos!BF16," - ")</f>
        <v>0.49862637362637363</v>
      </c>
      <c r="K16" s="354">
        <f>IF(ISNUMBER((Tasas!E16-Datos!BG16)/Datos!BG16),(Tasas!E16-Datos!BG16)/Datos!BG16," - ")</f>
        <v>7.6790801790801763E-2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4.5714285714285712</v>
      </c>
      <c r="E17" s="351">
        <f>IF(ISNUMBER(
   IF(D_I="SI",(Datos!J17-Datos!T17)/Datos!T17,(Datos!J17+Datos!AD17-(Datos!T17+Datos!AL17))/(Datos!T17+Datos!AL17))
     ),IF(D_I="SI",(Datos!J17-Datos!T17)/Datos!T17,(Datos!J17+Datos!AD17-(Datos!T17+Datos!AL17))/(Datos!T17+Datos!AL17))," - ")</f>
        <v>0.16202531645569621</v>
      </c>
      <c r="F17" s="351">
        <f>IF(ISNUMBER(
   IF(D_I="SI",(Datos!K17-Datos!U17)/Datos!U17,(Datos!K17+Datos!AE17-(Datos!U17+Datos!AM17))/(Datos!U17+Datos!AM17))
     ),IF(D_I="SI",(Datos!K17-Datos!U17)/Datos!U17,(Datos!K17+Datos!AE17-(Datos!U17+Datos!AM17))/(Datos!U17+Datos!AM17))," - ")</f>
        <v>0.25</v>
      </c>
      <c r="G17" s="352">
        <f>IF(ISNUMBER(
   IF(D_I="SI",(Datos!L17-Datos!V17)/Datos!V17,(Datos!L17+Datos!AF17-(Datos!V17+Datos!AN17))/(Datos!V17+Datos!AN17))
     ),IF(D_I="SI",(Datos!L17-Datos!V17)/Datos!V17,(Datos!L17+Datos!AF17-(Datos!V17+Datos!AN17))/(Datos!V17+Datos!AN17))," - ")</f>
        <v>0.5641025641025641</v>
      </c>
      <c r="H17" s="233">
        <f>IF(ISNUMBER((Datos!M17-Datos!W17)/Datos!W17),(Datos!M17-Datos!W17)/Datos!W17," - ")</f>
        <v>3.5714285714285712E-2</v>
      </c>
      <c r="I17" s="353">
        <f>IF(ISNUMBER((Tasas!C17-Datos!BE17)/Datos!BE17),(Tasas!C17-Datos!BE17)/Datos!BE17," - ")</f>
        <v>0.25128205128205133</v>
      </c>
      <c r="J17" s="352">
        <f>IF(ISNUMBER((Tasas!D17-Datos!BF17)/Datos!BF17),(Tasas!D17-Datos!BF17)/Datos!BF17," - ")</f>
        <v>-0.17142857142857129</v>
      </c>
      <c r="K17" s="354">
        <f>IF(ISNUMBER((Tasas!E17-Datos!BG17)/Datos!BG17),(Tasas!E17-Datos!BG17)/Datos!BG17," - ")</f>
        <v>5.0366748166259148E-2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0.21927710843373494</v>
      </c>
      <c r="E18" s="357">
        <f>IF(ISNUMBER(
   IF(D_I="SI",(Datos!J18-Datos!T18)/Datos!T18,(Datos!J18+Datos!AD18-(Datos!T18+Datos!AL18))/(Datos!T18+Datos!AL18))
     ),IF(D_I="SI",(Datos!J18-Datos!T18)/Datos!T18,(Datos!J18+Datos!AD18-(Datos!T18+Datos!AL18))/(Datos!T18+Datos!AL18))," - ")</f>
        <v>9.2165898617511524E-2</v>
      </c>
      <c r="F18" s="357">
        <f>IF(ISNUMBER(
   IF(D_I="SI",(Datos!K18-Datos!U18)/Datos!U18,(Datos!K18+Datos!AE18-(Datos!U18+Datos!AM18))/(Datos!U18+Datos!AM18))
     ),IF(D_I="SI",(Datos!K18-Datos!U18)/Datos!U18,(Datos!K18+Datos!AE18-(Datos!U18+Datos!AM18))/(Datos!U18+Datos!AM18))," - ")</f>
        <v>3.3810660302307081E-2</v>
      </c>
      <c r="G18" s="358">
        <f>IF(ISNUMBER(
   IF(D_I="SI",(Datos!L18-Datos!V18)/Datos!V18,(Datos!L18+Datos!AF18-(Datos!V18+Datos!AN18))/(Datos!V18+Datos!AN18))
     ),IF(D_I="SI",(Datos!L18-Datos!V18)/Datos!V18,(Datos!L18+Datos!AF18-(Datos!V18+Datos!AN18))/(Datos!V18+Datos!AN18))," - ")</f>
        <v>0.48418972332015808</v>
      </c>
      <c r="H18" s="359">
        <f>IF(ISNUMBER((Datos!M18-Datos!W18)/Datos!W18),(Datos!M18-Datos!W18)/Datos!W18," - ")</f>
        <v>0.38181818181818183</v>
      </c>
      <c r="I18" s="360">
        <f>IF(ISNUMBER((Tasas!C18-Datos!BE18)/Datos!BE18),(Tasas!C18-Datos!BE18)/Datos!BE18," - ")</f>
        <v>0.4356494668822154</v>
      </c>
      <c r="J18" s="358">
        <f>IF(ISNUMBER((Tasas!D18-Datos!BF18)/Datos!BF18),(Tasas!D18-Datos!BF18)/Datos!BF18," - ")</f>
        <v>0.33662597502535951</v>
      </c>
      <c r="K18" s="361">
        <f>IF(ISNUMBER((Tasas!E18-Datos!BG18)/Datos!BG18),(Tasas!E18-Datos!BG18)/Datos!BG18," - ")</f>
        <v>7.3348337278039438E-2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0.29850746268656714</v>
      </c>
      <c r="E19" s="366">
        <f>IF(ISNUMBER(
   IF(J_V="SI",(Datos!J19-Datos!T19)/Datos!T19,(Datos!J19+Datos!Z19-(Datos!T19+Datos!AH19))/(Datos!T19+Datos!AH19))
     ),IF(J_V="SI",(Datos!J19-Datos!T19)/Datos!T19,(Datos!J19+Datos!Z19-(Datos!T19+Datos!AH19))/(Datos!T19+Datos!AH19))," - ")</f>
        <v>0.15103532277710111</v>
      </c>
      <c r="F19" s="366">
        <f>IF(ISNUMBER(
   IF(J_V="SI",(Datos!K19-Datos!U19)/Datos!U19,(Datos!K19+Datos!AA19-(Datos!U19+Datos!AI19))/(Datos!U19+Datos!AI19))
     ),IF(J_V="SI",(Datos!K19-Datos!U19)/Datos!U19,(Datos!K19+Datos!AA19-(Datos!U19+Datos!AI19))/(Datos!U19+Datos!AI19))," - ")</f>
        <v>-3.9830058417419011E-2</v>
      </c>
      <c r="G19" s="367">
        <f>IF(ISNUMBER(
   IF(J_V="SI",(Datos!L19-Datos!V19)/Datos!V19,(Datos!L19+Datos!AB19-(Datos!V19+Datos!AJ19))/(Datos!V19+Datos!AJ19))
     ),IF(J_V="SI",(Datos!L19-Datos!V19)/Datos!V19,(Datos!L19+Datos!AB19-(Datos!V19+Datos!AJ19))/(Datos!V19+Datos!AJ19))," - ")</f>
        <v>0.75118323191345504</v>
      </c>
      <c r="H19" s="368">
        <f>IF(ISNUMBER((Datos!M19-Datos!W19)/Datos!W19),(Datos!M19-Datos!W19)/Datos!W19," - ")</f>
        <v>9.9290780141843976E-2</v>
      </c>
      <c r="I19" s="365">
        <f>IF(ISNUMBER((Tasas!C19-Datos!BE19)/Datos!BE19),(Tasas!C19-Datos!BE19)/Datos!BE19," - ")</f>
        <v>0.82382634164437829</v>
      </c>
      <c r="J19" s="366">
        <f>IF(ISNUMBER((Tasas!D19-Datos!BF19)/Datos!BF19),(Tasas!D19-Datos!BF19)/Datos!BF19," - ")</f>
        <v>6.2037872612948256E-2</v>
      </c>
      <c r="K19" s="367">
        <f>IF(ISNUMBER((Tasas!E19-Datos!BG19)/Datos!BG19),(Tasas!E19-Datos!BG19)/Datos!BG19," - ")</f>
        <v>0.23214267633300253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2.5577072631201063</v>
      </c>
      <c r="E21" s="281">
        <f t="shared" si="1"/>
        <v>0.34625717614889923</v>
      </c>
      <c r="F21" s="281">
        <f t="shared" si="1"/>
        <v>0.18425464638179612</v>
      </c>
      <c r="G21" s="282">
        <f t="shared" si="1"/>
        <v>5.0865752455345539E-2</v>
      </c>
      <c r="H21" s="288">
        <f t="shared" si="1"/>
        <v>0.27220580998666877</v>
      </c>
      <c r="I21" s="280">
        <f t="shared" si="1"/>
        <v>0.52063657970767319</v>
      </c>
      <c r="J21" s="281">
        <f t="shared" si="1"/>
        <v>0.27469557138435025</v>
      </c>
      <c r="K21" s="282">
        <f t="shared" si="1"/>
        <v>0.4716690218047051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t+ImbmonzojgIsxVoZiBPBWzC5deBta/IG1zihDgnEy/RoUU3xj7O2YAs/xvZZ75d42q6fb/TVQCSYOC1GVGA==" saltValue="nkXdvpvkYvovRLOLfR99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